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workbookProtection workbookAlgorithmName="SHA-512" workbookHashValue="osuM0mYFU74hus04IFrzB0O1C+xTvx/rTMQn5jdMdESfIVf6nF2D+zImGUyNOz6z1ok08bk9IHH11+fyvEC3ZA==" workbookSaltValue="jcv8AByKHISN5p03b54WNQ==" workbookSpinCount="100000" lockStructure="1"/>
  <bookViews>
    <workbookView xWindow="-120" yWindow="-120" windowWidth="29040" windowHeight="13056" tabRatio="867" activeTab="9"/>
  </bookViews>
  <sheets>
    <sheet name="קרא לפני שימוש" sheetId="5" r:id="rId1"/>
    <sheet name="נתוני מטוסים" sheetId="6" r:id="rId2"/>
    <sheet name="תכנון דלק ודף עזר" sheetId="1" r:id="rId3"/>
    <sheet name="דפי עזר מוכנים" sheetId="12" r:id="rId4"/>
    <sheet name="משקל ואיזון CHV" sheetId="2" r:id="rId5"/>
    <sheet name="משקל ואיזון DAV" sheetId="8" r:id="rId6"/>
    <sheet name="משקל ואיזון CHD" sheetId="9" r:id="rId7"/>
    <sheet name="משקל ואיזון CWV" sheetId="10" r:id="rId8"/>
    <sheet name="משקל ואיזון CDJ" sheetId="7" r:id="rId9"/>
    <sheet name="משקל ואיזון DBV" sheetId="11" r:id="rId10"/>
    <sheet name="משקל ואיזון YYY" sheetId="14" r:id="rId11"/>
  </sheets>
  <definedNames>
    <definedName name="_xlnm._FilterDatabase" localSheetId="8" hidden="1">'משקל ואיזון CDJ'!$A$1:$D$8</definedName>
    <definedName name="_xlnm._FilterDatabase" localSheetId="6" hidden="1">'משקל ואיזון CHD'!$A$1:$D$8</definedName>
    <definedName name="_xlnm._FilterDatabase" localSheetId="4" hidden="1">'משקל ואיזון CHV'!$A$1:$D$8</definedName>
    <definedName name="_xlnm._FilterDatabase" localSheetId="7" hidden="1">'משקל ואיזון CWV'!$A$1:$D$12</definedName>
    <definedName name="_xlnm._FilterDatabase" localSheetId="5" hidden="1">'משקל ואיזון DAV'!$A$1:$D$8</definedName>
    <definedName name="_xlnm._FilterDatabase" localSheetId="9" hidden="1">'משקל ואיזון DBV'!$A$1:$D$8</definedName>
    <definedName name="_xlnm.Print_Area" localSheetId="8">'משקל ואיזון CDJ'!$A$1:$K$32</definedName>
    <definedName name="_xlnm.Print_Area" localSheetId="6">'משקל ואיזון CHD'!$A$1:$K$32</definedName>
    <definedName name="_xlnm.Print_Area" localSheetId="4">'משקל ואיזון CHV'!$A$1:$L$32</definedName>
    <definedName name="_xlnm.Print_Area" localSheetId="7">'משקל ואיזון CWV'!$A$1:$K$36</definedName>
    <definedName name="_xlnm.Print_Area" localSheetId="5">'משקל ואיזון DAV'!$A$1:$K$32</definedName>
    <definedName name="_xlnm.Print_Area" localSheetId="9">'משקל ואיזון DBV'!$A$1:$K$32</definedName>
    <definedName name="_xlnm.Print_Area" localSheetId="2">'תכנון דלק ודף עזר'!$A$1:$O$40</definedName>
  </definedNames>
  <calcPr calcId="14562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 i="11" l="1"/>
  <c r="A19" i="11"/>
  <c r="A22" i="11"/>
  <c r="C9" i="11"/>
  <c r="C8" i="11"/>
  <c r="C7" i="11"/>
  <c r="C6" i="11"/>
  <c r="C5" i="11"/>
  <c r="C4" i="11"/>
  <c r="C3" i="11"/>
  <c r="C2" i="11"/>
  <c r="J10" i="10" l="1"/>
  <c r="J8" i="10"/>
  <c r="C10" i="10"/>
  <c r="D10" i="10" s="1"/>
  <c r="C7" i="10"/>
  <c r="D7" i="10" s="1"/>
  <c r="C8" i="10"/>
  <c r="D8" i="10" s="1"/>
  <c r="C9" i="10"/>
  <c r="D9" i="10" s="1"/>
  <c r="A22" i="14" l="1"/>
  <c r="A19" i="14"/>
  <c r="J12" i="14"/>
  <c r="J10" i="14"/>
  <c r="C9" i="14"/>
  <c r="D9" i="14" s="1"/>
  <c r="J8" i="14"/>
  <c r="J14" i="14" s="1"/>
  <c r="A18" i="14" s="1"/>
  <c r="C8" i="14"/>
  <c r="D8" i="14" s="1"/>
  <c r="C7" i="14"/>
  <c r="D7" i="14" s="1"/>
  <c r="J6" i="14"/>
  <c r="C6" i="14"/>
  <c r="D6" i="14" s="1"/>
  <c r="C5" i="14"/>
  <c r="D5" i="14" s="1"/>
  <c r="J4" i="14"/>
  <c r="C4" i="14"/>
  <c r="D4" i="14" s="1"/>
  <c r="C3" i="14"/>
  <c r="D3" i="14" s="1"/>
  <c r="J2" i="14"/>
  <c r="C2" i="14"/>
  <c r="B2" i="14"/>
  <c r="B13" i="14" s="1"/>
  <c r="J12" i="11"/>
  <c r="J10" i="11"/>
  <c r="D9" i="11"/>
  <c r="J8" i="11"/>
  <c r="J14" i="11" s="1"/>
  <c r="A18" i="11" s="1"/>
  <c r="D8" i="11"/>
  <c r="D7" i="11"/>
  <c r="J6" i="11"/>
  <c r="D6" i="11"/>
  <c r="D5" i="11"/>
  <c r="J4" i="11"/>
  <c r="D4" i="11"/>
  <c r="D3" i="11"/>
  <c r="J2" i="11"/>
  <c r="B13" i="11"/>
  <c r="A17" i="11" s="1"/>
  <c r="A22" i="7"/>
  <c r="A19" i="7"/>
  <c r="J12" i="7"/>
  <c r="J10" i="7"/>
  <c r="C9" i="7"/>
  <c r="D9" i="7" s="1"/>
  <c r="J8" i="7"/>
  <c r="J14" i="7" s="1"/>
  <c r="A18" i="7" s="1"/>
  <c r="C8" i="7"/>
  <c r="D8" i="7" s="1"/>
  <c r="C7" i="7"/>
  <c r="D7" i="7" s="1"/>
  <c r="J6" i="7"/>
  <c r="C6" i="7"/>
  <c r="D6" i="7" s="1"/>
  <c r="C5" i="7"/>
  <c r="D5" i="7" s="1"/>
  <c r="J4" i="7"/>
  <c r="C4" i="7"/>
  <c r="D4" i="7" s="1"/>
  <c r="C3" i="7"/>
  <c r="D3" i="7" s="1"/>
  <c r="J2" i="7"/>
  <c r="C2" i="7"/>
  <c r="B13" i="7"/>
  <c r="A26" i="10"/>
  <c r="A23" i="10"/>
  <c r="J16" i="10"/>
  <c r="J14" i="10"/>
  <c r="C13" i="10"/>
  <c r="D13" i="10" s="1"/>
  <c r="J12" i="10"/>
  <c r="J18" i="10" s="1"/>
  <c r="A22" i="10" s="1"/>
  <c r="C12" i="10"/>
  <c r="D12" i="10" s="1"/>
  <c r="C11" i="10"/>
  <c r="D11" i="10" s="1"/>
  <c r="J6" i="10"/>
  <c r="C6" i="10"/>
  <c r="D6" i="10" s="1"/>
  <c r="C5" i="10"/>
  <c r="D5" i="10" s="1"/>
  <c r="J4" i="10"/>
  <c r="C4" i="10"/>
  <c r="D4" i="10" s="1"/>
  <c r="C3" i="10"/>
  <c r="D3" i="10" s="1"/>
  <c r="J2" i="10"/>
  <c r="C2" i="10"/>
  <c r="B2" i="10"/>
  <c r="A22" i="9"/>
  <c r="A19" i="9"/>
  <c r="J12" i="9"/>
  <c r="J10" i="9"/>
  <c r="C9" i="9"/>
  <c r="D9" i="9" s="1"/>
  <c r="J8" i="9"/>
  <c r="J14" i="9" s="1"/>
  <c r="A18" i="9" s="1"/>
  <c r="C8" i="9"/>
  <c r="D8" i="9" s="1"/>
  <c r="C7" i="9"/>
  <c r="D7" i="9" s="1"/>
  <c r="J6" i="9"/>
  <c r="C6" i="9"/>
  <c r="D6" i="9" s="1"/>
  <c r="C5" i="9"/>
  <c r="D5" i="9" s="1"/>
  <c r="J4" i="9"/>
  <c r="C4" i="9"/>
  <c r="D4" i="9" s="1"/>
  <c r="C3" i="9"/>
  <c r="D3" i="9" s="1"/>
  <c r="J2" i="9"/>
  <c r="C2" i="9"/>
  <c r="B2" i="9"/>
  <c r="B13" i="9" s="1"/>
  <c r="A17" i="9" s="1"/>
  <c r="A22" i="8"/>
  <c r="A19" i="8"/>
  <c r="J12" i="8"/>
  <c r="J10" i="8"/>
  <c r="C9" i="8"/>
  <c r="D9" i="8" s="1"/>
  <c r="J8" i="8"/>
  <c r="J14" i="8" s="1"/>
  <c r="A18" i="8" s="1"/>
  <c r="C8" i="8"/>
  <c r="D8" i="8" s="1"/>
  <c r="C7" i="8"/>
  <c r="D7" i="8" s="1"/>
  <c r="J6" i="8"/>
  <c r="C6" i="8"/>
  <c r="D6" i="8" s="1"/>
  <c r="C5" i="8"/>
  <c r="D5" i="8" s="1"/>
  <c r="J4" i="8"/>
  <c r="C4" i="8"/>
  <c r="D4" i="8" s="1"/>
  <c r="C3" i="8"/>
  <c r="D3" i="8" s="1"/>
  <c r="J2" i="8"/>
  <c r="C2" i="8"/>
  <c r="B2" i="8"/>
  <c r="B13" i="8" s="1"/>
  <c r="A17" i="8" s="1"/>
  <c r="A22" i="2"/>
  <c r="A19" i="2"/>
  <c r="J12" i="2"/>
  <c r="J10" i="2"/>
  <c r="C9" i="2"/>
  <c r="D9" i="2" s="1"/>
  <c r="J8" i="2"/>
  <c r="J14" i="2" s="1"/>
  <c r="A18" i="2" s="1"/>
  <c r="C8" i="2"/>
  <c r="D8" i="2" s="1"/>
  <c r="C7" i="2"/>
  <c r="D7" i="2" s="1"/>
  <c r="J6" i="2"/>
  <c r="C6" i="2"/>
  <c r="D6" i="2" s="1"/>
  <c r="C5" i="2"/>
  <c r="D5" i="2" s="1"/>
  <c r="J4" i="2"/>
  <c r="C4" i="2"/>
  <c r="D4" i="2" s="1"/>
  <c r="C3" i="2"/>
  <c r="D3" i="2" s="1"/>
  <c r="J2" i="2"/>
  <c r="C2" i="2"/>
  <c r="B2" i="2"/>
  <c r="B13" i="2" s="1"/>
  <c r="E151" i="12"/>
  <c r="E148" i="12"/>
  <c r="F147" i="12"/>
  <c r="M147" i="12" s="1"/>
  <c r="F146" i="12"/>
  <c r="M146" i="12" s="1"/>
  <c r="F145" i="12"/>
  <c r="M145" i="12" s="1"/>
  <c r="F144" i="12"/>
  <c r="M144" i="12" s="1"/>
  <c r="F143" i="12"/>
  <c r="M143" i="12" s="1"/>
  <c r="F142" i="12"/>
  <c r="M142" i="12" s="1"/>
  <c r="F141" i="12"/>
  <c r="M141" i="12" s="1"/>
  <c r="F140" i="12"/>
  <c r="M140" i="12" s="1"/>
  <c r="F139" i="12"/>
  <c r="M139" i="12" s="1"/>
  <c r="F138" i="12"/>
  <c r="M138" i="12" s="1"/>
  <c r="F137" i="12"/>
  <c r="M137" i="12" s="1"/>
  <c r="M136" i="12"/>
  <c r="F136" i="12"/>
  <c r="F135" i="12"/>
  <c r="M135" i="12" s="1"/>
  <c r="F134" i="12"/>
  <c r="M134" i="12" s="1"/>
  <c r="E128" i="12"/>
  <c r="F127" i="12"/>
  <c r="M127" i="12" s="1"/>
  <c r="F126" i="12"/>
  <c r="M126" i="12" s="1"/>
  <c r="F125" i="12"/>
  <c r="M125" i="12" s="1"/>
  <c r="F124" i="12"/>
  <c r="M124" i="12" s="1"/>
  <c r="F123" i="12"/>
  <c r="M123" i="12" s="1"/>
  <c r="F122" i="12"/>
  <c r="M122" i="12" s="1"/>
  <c r="F121" i="12"/>
  <c r="M121" i="12" s="1"/>
  <c r="F120" i="12"/>
  <c r="M120" i="12" s="1"/>
  <c r="F119" i="12"/>
  <c r="M119" i="12" s="1"/>
  <c r="F118" i="12"/>
  <c r="M118" i="12" s="1"/>
  <c r="Q117" i="12"/>
  <c r="F117" i="12"/>
  <c r="M117" i="12" s="1"/>
  <c r="F116" i="12"/>
  <c r="M116" i="12" s="1"/>
  <c r="F115" i="12"/>
  <c r="M115" i="12" s="1"/>
  <c r="F114" i="12"/>
  <c r="M114" i="12" s="1"/>
  <c r="F113" i="12"/>
  <c r="E104" i="12"/>
  <c r="E107" i="12" s="1"/>
  <c r="M103" i="12"/>
  <c r="F103" i="12"/>
  <c r="F102" i="12"/>
  <c r="M102" i="12" s="1"/>
  <c r="F101" i="12"/>
  <c r="M101" i="12" s="1"/>
  <c r="M100" i="12"/>
  <c r="F100" i="12"/>
  <c r="F99" i="12"/>
  <c r="M99" i="12" s="1"/>
  <c r="F98" i="12"/>
  <c r="M98" i="12" s="1"/>
  <c r="F97" i="12"/>
  <c r="M97" i="12" s="1"/>
  <c r="F96" i="12"/>
  <c r="M95" i="12"/>
  <c r="F95" i="12"/>
  <c r="E90" i="12"/>
  <c r="F89" i="12"/>
  <c r="M89" i="12" s="1"/>
  <c r="F88" i="12"/>
  <c r="M88" i="12" s="1"/>
  <c r="F87" i="12"/>
  <c r="M87" i="12" s="1"/>
  <c r="F86" i="12"/>
  <c r="M86" i="12" s="1"/>
  <c r="Q85" i="12"/>
  <c r="F85" i="12"/>
  <c r="M85" i="12" s="1"/>
  <c r="F84" i="12"/>
  <c r="M84" i="12" s="1"/>
  <c r="M83" i="12"/>
  <c r="F83" i="12"/>
  <c r="F82" i="12"/>
  <c r="M82" i="12" s="1"/>
  <c r="F80" i="12"/>
  <c r="F90" i="12" s="1"/>
  <c r="E72" i="12"/>
  <c r="F71" i="12"/>
  <c r="F70" i="12"/>
  <c r="M70" i="12" s="1"/>
  <c r="M69" i="12"/>
  <c r="F69" i="12"/>
  <c r="F68" i="12"/>
  <c r="M68" i="12" s="1"/>
  <c r="F67" i="12"/>
  <c r="M67" i="12" s="1"/>
  <c r="F66" i="12"/>
  <c r="M66" i="12" s="1"/>
  <c r="F65" i="12"/>
  <c r="M65" i="12" s="1"/>
  <c r="F64" i="12"/>
  <c r="M64" i="12" s="1"/>
  <c r="E59" i="12"/>
  <c r="M58" i="12"/>
  <c r="F58" i="12"/>
  <c r="F57" i="12"/>
  <c r="M57" i="12" s="1"/>
  <c r="F56" i="12"/>
  <c r="M56" i="12" s="1"/>
  <c r="Q55" i="12"/>
  <c r="F55" i="12"/>
  <c r="M55" i="12" s="1"/>
  <c r="F54" i="12"/>
  <c r="M54" i="12" s="1"/>
  <c r="M53" i="12"/>
  <c r="F53" i="12"/>
  <c r="F52" i="12"/>
  <c r="M52" i="12" s="1"/>
  <c r="M50" i="12"/>
  <c r="F50" i="12"/>
  <c r="E42" i="12"/>
  <c r="F41" i="12"/>
  <c r="M41" i="12" s="1"/>
  <c r="F40" i="12"/>
  <c r="M40" i="12" s="1"/>
  <c r="F39" i="12"/>
  <c r="M39" i="12" s="1"/>
  <c r="F38" i="12"/>
  <c r="M38" i="12" s="1"/>
  <c r="F37" i="12"/>
  <c r="M37" i="12" s="1"/>
  <c r="F36" i="12"/>
  <c r="M36" i="12" s="1"/>
  <c r="F35" i="12"/>
  <c r="M35" i="12" s="1"/>
  <c r="F34" i="12"/>
  <c r="F42" i="12" s="1"/>
  <c r="E29" i="12"/>
  <c r="F28" i="12"/>
  <c r="M28" i="12" s="1"/>
  <c r="F27" i="12"/>
  <c r="M27" i="12" s="1"/>
  <c r="F26" i="12"/>
  <c r="M26" i="12" s="1"/>
  <c r="F25" i="12"/>
  <c r="M25" i="12" s="1"/>
  <c r="F24" i="12"/>
  <c r="M24" i="12" s="1"/>
  <c r="F23" i="12"/>
  <c r="M23" i="12" s="1"/>
  <c r="F22" i="12"/>
  <c r="M22" i="12" s="1"/>
  <c r="M21" i="12"/>
  <c r="F21" i="12"/>
  <c r="F20" i="12"/>
  <c r="M20" i="12" s="1"/>
  <c r="F19" i="12"/>
  <c r="M19" i="12" s="1"/>
  <c r="F18" i="12"/>
  <c r="M18" i="12" s="1"/>
  <c r="E13" i="12"/>
  <c r="E45" i="12" s="1"/>
  <c r="F12" i="12"/>
  <c r="M12" i="12" s="1"/>
  <c r="M11" i="12"/>
  <c r="F11" i="12"/>
  <c r="M10" i="12"/>
  <c r="F10" i="12"/>
  <c r="M9" i="12"/>
  <c r="F9" i="12"/>
  <c r="Q8" i="12"/>
  <c r="F8" i="12"/>
  <c r="M8" i="12" s="1"/>
  <c r="F7" i="12"/>
  <c r="M7" i="12" s="1"/>
  <c r="F6" i="12"/>
  <c r="M6" i="12" s="1"/>
  <c r="F5" i="12"/>
  <c r="M5" i="12" s="1"/>
  <c r="F3" i="12"/>
  <c r="F13" i="12" s="1"/>
  <c r="E27" i="1"/>
  <c r="E26" i="1"/>
  <c r="H25" i="1"/>
  <c r="C23" i="1"/>
  <c r="E32" i="1" s="1"/>
  <c r="D22" i="1"/>
  <c r="F22" i="1" s="1"/>
  <c r="D21" i="1"/>
  <c r="F21" i="1" s="1"/>
  <c r="E20" i="1"/>
  <c r="D20" i="1"/>
  <c r="F20" i="1" s="1"/>
  <c r="D19" i="1"/>
  <c r="E19" i="1" s="1"/>
  <c r="D18" i="1"/>
  <c r="F18" i="1" s="1"/>
  <c r="D17" i="1"/>
  <c r="F17" i="1" s="1"/>
  <c r="F16" i="1"/>
  <c r="E16" i="1"/>
  <c r="D16" i="1"/>
  <c r="F15" i="1"/>
  <c r="D15" i="1"/>
  <c r="E15" i="1" s="1"/>
  <c r="D14" i="1"/>
  <c r="F14" i="1" s="1"/>
  <c r="D13" i="1"/>
  <c r="F13" i="1" s="1"/>
  <c r="D12" i="1"/>
  <c r="F12" i="1" s="1"/>
  <c r="D11" i="1"/>
  <c r="F11" i="1" s="1"/>
  <c r="F10" i="1"/>
  <c r="D10" i="1"/>
  <c r="F9" i="1"/>
  <c r="D9" i="1"/>
  <c r="D8" i="1"/>
  <c r="F8" i="1" s="1"/>
  <c r="D7" i="1"/>
  <c r="D6" i="1"/>
  <c r="E6" i="1" s="1"/>
  <c r="D5" i="1"/>
  <c r="F5" i="1" s="1"/>
  <c r="D4" i="1"/>
  <c r="F4" i="1" s="1"/>
  <c r="D3" i="1"/>
  <c r="D2" i="1"/>
  <c r="E2" i="1" s="1"/>
  <c r="E86" i="6"/>
  <c r="E85" i="6"/>
  <c r="D85" i="6"/>
  <c r="D84" i="6"/>
  <c r="E83" i="6"/>
  <c r="E82" i="6"/>
  <c r="K70" i="6"/>
  <c r="K69" i="6"/>
  <c r="J69" i="6"/>
  <c r="E66" i="6"/>
  <c r="J68" i="6"/>
  <c r="E65" i="6"/>
  <c r="D65" i="6"/>
  <c r="K67" i="6"/>
  <c r="D64" i="6"/>
  <c r="K66" i="6"/>
  <c r="E63" i="6"/>
  <c r="E62" i="6"/>
  <c r="K50" i="6"/>
  <c r="K49" i="6"/>
  <c r="J49" i="6"/>
  <c r="E46" i="6"/>
  <c r="J48" i="6"/>
  <c r="E45" i="6"/>
  <c r="D45" i="6"/>
  <c r="K47" i="6"/>
  <c r="D44" i="6"/>
  <c r="K46" i="6"/>
  <c r="E43" i="6"/>
  <c r="E42" i="6"/>
  <c r="K27" i="6"/>
  <c r="E27" i="6"/>
  <c r="K26" i="6"/>
  <c r="J26" i="6"/>
  <c r="E26" i="6"/>
  <c r="D26" i="6"/>
  <c r="J25" i="6"/>
  <c r="D25" i="6"/>
  <c r="K24" i="6"/>
  <c r="E24" i="6"/>
  <c r="K23" i="6"/>
  <c r="E23" i="6"/>
  <c r="P14" i="6"/>
  <c r="K8" i="6"/>
  <c r="E8" i="6"/>
  <c r="K7" i="6"/>
  <c r="J7" i="6"/>
  <c r="E7" i="6"/>
  <c r="D7" i="6"/>
  <c r="J6" i="6"/>
  <c r="D6" i="6"/>
  <c r="K5" i="6"/>
  <c r="E5" i="6"/>
  <c r="K4" i="6"/>
  <c r="E4" i="6"/>
  <c r="E3" i="1" l="1"/>
  <c r="E7" i="1"/>
  <c r="M3" i="12"/>
  <c r="M13" i="12" s="1"/>
  <c r="F104" i="12"/>
  <c r="F128" i="12"/>
  <c r="F45" i="12"/>
  <c r="F107" i="12"/>
  <c r="F72" i="12"/>
  <c r="M96" i="12"/>
  <c r="M104" i="12" s="1"/>
  <c r="M113" i="12"/>
  <c r="M128" i="12" s="1"/>
  <c r="F29" i="12"/>
  <c r="F59" i="12"/>
  <c r="E75" i="12"/>
  <c r="M148" i="12"/>
  <c r="F75" i="12"/>
  <c r="M59" i="12"/>
  <c r="M15" i="12"/>
  <c r="M30" i="12" s="1"/>
  <c r="M29" i="12"/>
  <c r="F3" i="1"/>
  <c r="E14" i="1"/>
  <c r="F19" i="1"/>
  <c r="M80" i="12"/>
  <c r="M90" i="12" s="1"/>
  <c r="E9" i="1"/>
  <c r="F148" i="12"/>
  <c r="F151" i="12" s="1"/>
  <c r="E17" i="1"/>
  <c r="F7" i="1"/>
  <c r="E18" i="1"/>
  <c r="F2" i="1"/>
  <c r="E13" i="1"/>
  <c r="E4" i="1"/>
  <c r="E5" i="1"/>
  <c r="E21" i="1"/>
  <c r="M71" i="12"/>
  <c r="M72" i="12" s="1"/>
  <c r="E10" i="1"/>
  <c r="E11" i="1"/>
  <c r="F6" i="1"/>
  <c r="E22" i="1"/>
  <c r="M34" i="12"/>
  <c r="M42" i="12" s="1"/>
  <c r="E12" i="1"/>
  <c r="D23" i="1"/>
  <c r="E8" i="1"/>
  <c r="D2" i="11"/>
  <c r="B12" i="11" s="1"/>
  <c r="A16" i="11" s="1"/>
  <c r="D2" i="14"/>
  <c r="B12" i="14" s="1"/>
  <c r="A16" i="14" s="1"/>
  <c r="D2" i="2"/>
  <c r="B12" i="2" s="1"/>
  <c r="A16" i="2" s="1"/>
  <c r="D2" i="7"/>
  <c r="B12" i="7" s="1"/>
  <c r="A16" i="7" s="1"/>
  <c r="A17" i="2"/>
  <c r="A17" i="7"/>
  <c r="A17" i="14"/>
  <c r="D2" i="10"/>
  <c r="B17" i="10"/>
  <c r="A21" i="10" s="1"/>
  <c r="D2" i="9"/>
  <c r="B12" i="9" s="1"/>
  <c r="A16" i="9" s="1"/>
  <c r="D2" i="8"/>
  <c r="B12" i="8" s="1"/>
  <c r="A16" i="8" s="1"/>
  <c r="H45" i="12" l="1"/>
  <c r="I45" i="12" s="1"/>
  <c r="E23" i="1"/>
  <c r="E31" i="1"/>
  <c r="H107" i="12"/>
  <c r="I107" i="12" s="1"/>
  <c r="M92" i="12"/>
  <c r="M105" i="12" s="1"/>
  <c r="M106" i="12" s="1"/>
  <c r="M31" i="12"/>
  <c r="M43" i="12" s="1"/>
  <c r="M44" i="12" s="1"/>
  <c r="H75" i="12"/>
  <c r="I75" i="12" s="1"/>
  <c r="M61" i="12"/>
  <c r="M73" i="12" s="1"/>
  <c r="M74" i="12" s="1"/>
  <c r="F23" i="1"/>
  <c r="M130" i="12"/>
  <c r="M149" i="12" s="1"/>
  <c r="M150" i="12" s="1"/>
  <c r="H151" i="12"/>
  <c r="I151" i="12" s="1"/>
  <c r="B16" i="10"/>
  <c r="A20" i="10" s="1"/>
  <c r="E30" i="1" l="1"/>
  <c r="E29" i="1"/>
  <c r="E28" i="1"/>
</calcChain>
</file>

<file path=xl/comments1.xml><?xml version="1.0" encoding="utf-8"?>
<comments xmlns="http://schemas.openxmlformats.org/spreadsheetml/2006/main">
  <authors>
    <author>מחבר</author>
  </authors>
  <commentList>
    <comment ref="B7" authorId="0">
      <text>
        <r>
          <rPr>
            <b/>
            <sz val="8"/>
            <color indexed="81"/>
            <rFont val="Tahoma"/>
            <family val="2"/>
          </rPr>
          <t>משקל תא הקירור (המספר המודגש בצד שמאל) מתווסף אוטומטית לחישוב</t>
        </r>
      </text>
    </comment>
  </commentList>
</comments>
</file>

<file path=xl/sharedStrings.xml><?xml version="1.0" encoding="utf-8"?>
<sst xmlns="http://schemas.openxmlformats.org/spreadsheetml/2006/main" count="1527" uniqueCount="307">
  <si>
    <t>מ-</t>
  </si>
  <si>
    <t>אל-</t>
  </si>
  <si>
    <t>סוג</t>
  </si>
  <si>
    <t>סה"כ</t>
  </si>
  <si>
    <t>מרחק NM</t>
  </si>
  <si>
    <t>דלק GAL</t>
  </si>
  <si>
    <t>רזרבה ל45 דקות (גלון)</t>
  </si>
  <si>
    <t>רזרבה לשעה (גלון)</t>
  </si>
  <si>
    <t>זרוע</t>
  </si>
  <si>
    <t>מומנט</t>
  </si>
  <si>
    <t>X</t>
  </si>
  <si>
    <t>Y</t>
  </si>
  <si>
    <t>משקל</t>
  </si>
  <si>
    <t>מטוס ריק (ליברות)</t>
  </si>
  <si>
    <t>דלק (גאלון)</t>
  </si>
  <si>
    <t>משקל המראה (ליברות)</t>
  </si>
  <si>
    <t>מעטפת CG לגרף</t>
  </si>
  <si>
    <t>מעטפת UTILITY לגרף</t>
  </si>
  <si>
    <t>פאנל הודעות:</t>
  </si>
  <si>
    <t>סיכום נתונים</t>
  </si>
  <si>
    <t>מרכז כובד (אינצ')</t>
  </si>
  <si>
    <t>משקל ריק של מטוס - כולל בתוכו דלק שלא ניתן לניצול + שמן מנוע</t>
  </si>
  <si>
    <t>זרועות</t>
  </si>
  <si>
    <t>נתונים סופיים לטיסה</t>
  </si>
  <si>
    <t>אם ידוע המרחק הכולל של הנתיב ניתן להזין אותו בשורה אחת במקום כל לג בנפרד</t>
  </si>
  <si>
    <t>משקל מטוס ריק (ליברות)</t>
  </si>
  <si>
    <t>זרוע משקל עצמי (אינצ')</t>
  </si>
  <si>
    <t>זרוע מיכלי דלק (אינצ')</t>
  </si>
  <si>
    <t>זרוע טייס ונוסע קדמי (אינצ')</t>
  </si>
  <si>
    <t>זרוע נוסעים אחוריים (אינצ')</t>
  </si>
  <si>
    <t>זרוע מטען קדמי (אינצ')</t>
  </si>
  <si>
    <t>זרוע מטען אחורי (אינצ')</t>
  </si>
  <si>
    <t>מרכז כובד קדמי מקסימאלי (אינצ')</t>
  </si>
  <si>
    <t>מרכז כובד אחורי מקסימאלי (אינצ')</t>
  </si>
  <si>
    <t>משקל המראה מקסימאלי (ליברות)</t>
  </si>
  <si>
    <t>משקלים</t>
  </si>
  <si>
    <t>מקסימום דלק לניצול (גאלון)</t>
  </si>
  <si>
    <t>דלק בחלוקה לכנפיים (גאלון)</t>
  </si>
  <si>
    <t>נוסעים אחוריים (ק"ג)</t>
  </si>
  <si>
    <t>טייס+נוסע (ק"ג)</t>
  </si>
  <si>
    <t>מקסימום מטען קדמי (ק"ג)</t>
  </si>
  <si>
    <t>מקסימום מטען אחורי (ק"ג)</t>
  </si>
  <si>
    <t>לשונית "תכנון דלק"</t>
  </si>
  <si>
    <t>כללי</t>
  </si>
  <si>
    <t>בכל מקרה בו ישנה סתירה בין הנתונים ו/או האמור בתוכנית זו לבין הרשום בספר המטוס ו/או במקורות רשמיים אחרים - ספר המטוס ו/או אותם מקורות הם הקובעים.</t>
  </si>
  <si>
    <t>לשונית "משקל ואיזון"</t>
  </si>
  <si>
    <t>לכל מטוס יש לשונית משלו. יש לוודא שהנכם בלשונית הנכונה.</t>
  </si>
  <si>
    <t>ניתן ונידרש להזין נתונים רק בתאים בעלי מסגרת כתומה מודגשת</t>
  </si>
  <si>
    <t>לשונית נתוני מטוסים</t>
  </si>
  <si>
    <t>הטבלאות של המעטפת עם נתוני X ו Y הן עבור הגרף שמייצג את מעטפת המטוס. כל ערך X ו Y בשורה אחת מייצג נקודה אחת על הגרף. שלל הנקודות יוצר את המסגרת המהווה את מגבלות המטוס. את הערכים יש להוציא מהגרף בספר המטוס, כמו כל שאר הערכים בלשונית זו</t>
  </si>
  <si>
    <t>יש לשים לב היטב באיזה יחידת מידה מדובר כאשר הנכם מזינים נתונים. בקביעת יחידות המידה לקחתי בחשבון שתהיה נוחות הזנה מירבית - כלומר שימוש ביחידות מידה נפוצות ומוכרות ביחס לדבר אותו מודדים</t>
  </si>
  <si>
    <t>ע"מ לערוך שינויים בלשונית זו יש להזין סיסמא השמורה אצל אדם המורשה בביצוע שינויים בנתונים.</t>
  </si>
  <si>
    <t>משקל מקסימאלי תא מטען קדמי (ליברות)</t>
  </si>
  <si>
    <t>משקל מקסימאלי תא מטען אחורי (ליברות)</t>
  </si>
  <si>
    <t>צריכת דלק בשיוט (GPH)</t>
  </si>
  <si>
    <t>הזנת נתונים:</t>
  </si>
  <si>
    <t>זמן טיסה כולל</t>
  </si>
  <si>
    <t>מרחק טיסה כולל (מייל ימי)</t>
  </si>
  <si>
    <t>צריכת דלק בהנעה, הסעה והמראה (גאלון)</t>
  </si>
  <si>
    <t>CWR</t>
  </si>
  <si>
    <t>מהירות שיוט (G/S)</t>
  </si>
  <si>
    <t>הזן שם מטוס:</t>
  </si>
  <si>
    <t>התכנון נעשה מבלי לקחת בחשבון צריכת דלק, זמנים ומרחקים של טיפוס והנמכה. למרות זאת, התוכנית נותנת מושג די מדוייק לגבי צריכת הדלק שתדרש לטיסה (גם בגלל התקזזות דלק חלקית בין הנמכה לטיפוס)</t>
  </si>
  <si>
    <t>הלשוניות ממוקמות בסדר הרצוי לעבודה. ראשית חישוב זמני טיסה וצריכת דלק, ולאחר מכן משקל ואיזון.</t>
  </si>
  <si>
    <t>רבע טנק דלק (גאלון)</t>
  </si>
  <si>
    <t>ע"פ לשונית זו ניתן גם להסיק את מגבלות המטוס, כגון: משקל מקסימאלי להמראה, CG, כמות מקסימאלית של דלק (רגילה או ארוך טווח) ועוד...</t>
  </si>
  <si>
    <t>יש לבדוק את "פאנל ההודעות" ע"מ לוודא שהמטוס לא חורג מאף מגבלה ובנוסף להסתכל בגרף כדי לקבל אינדיקציה נוספת על תקינות מיקום מרכז הכובד.</t>
  </si>
  <si>
    <t>כמות דלק נדרשת ללא רזרבה (גלון)</t>
  </si>
  <si>
    <t>כמות דלק נדרשת עם רזרבה ל45 דק (גלון)</t>
  </si>
  <si>
    <t>כמות דלק נדרשת עם רזרבה לשעה (גלון)</t>
  </si>
  <si>
    <t>אחריותו הבלעדית של הטייס, לוודא שנתוני המטוס הקבועים שנרשמו בתוכנית משקל ואיזון, אינם סותרים את הכתוב בספר המטוס הספיציפי עליו הוא טס -  וששום שינוי לא חל בנתוניו הקבועים של המטוס.</t>
  </si>
  <si>
    <t>הנתונים הקבועים על פיהם מתבסס החישוב האוטומטי של המשקל והאיזון נלקחו מספר המטוס בעל אות הקריאה הספייציפי הרשום בלשונית אות הקריאה של המטוס.</t>
  </si>
  <si>
    <t>MTOW (LB) :</t>
  </si>
  <si>
    <t>אזהרה: שינוי ערכים ישפיע על כלל החישובים בתוכנית! יש לשנות ערכים רק במידה ונדרש</t>
  </si>
  <si>
    <t>לשונית זו נועדה למילוי נתוני המטוס, כך שבלשונית משקל ואיזון שלו יוצגו נתונים וגרפים מדוייקים שיאפשרו חישוב מהיר של משקל ואיזון. בנוסף פונקציה זו מאפשרת שינויים של נתוני המטוס כאשר נדרש (למשל: שינוי במשקל המטוס)</t>
  </si>
  <si>
    <t>טייס (ליברות)</t>
  </si>
  <si>
    <t>נוסע קדמי (ליברות)</t>
  </si>
  <si>
    <t>נוסע אחורי 1 (ליברות)</t>
  </si>
  <si>
    <t>נוסע אחורי 2 (ליברות)</t>
  </si>
  <si>
    <t>מטען קדמי (ליברות)</t>
  </si>
  <si>
    <t>מטען אחורי (ליברות)</t>
  </si>
  <si>
    <t>הזן תאריך עדכון נתונים אחרון:</t>
  </si>
  <si>
    <t xml:space="preserve"> </t>
  </si>
  <si>
    <t>חובה - קרא את תנאי השימוש בתוכנית בלשונית "קרא לפני שימוש"</t>
  </si>
  <si>
    <t xml:space="preserve">כל שימוש בתוכנית זו הינו באחריות המשתמש בלבד, ואין יוצר התוכנית נושא בשום אחריות לתוצאות השימוש. </t>
  </si>
  <si>
    <t>משקל מקסימאלי 2 תאי המטען יחד (ליברות)</t>
  </si>
  <si>
    <t>קובץ זה אינו מהווה תחליף לספר המטוס המקורי. המשתמש במידע זה - על אחריותו ודעתו בלבד.</t>
  </si>
  <si>
    <t>כאשר מדפיסים, יש להגדיר הדפסה לרוחב</t>
  </si>
  <si>
    <r>
      <t xml:space="preserve">חשוב מאוד! יש לשים לב כי בטבלת "הזנת הנתונים" - בצד שמאל - צריך להזין את נתוני המטוס הספציפי עליו אתם טסים, כפי שהם מופיעים בספר המטוס המקורי - </t>
    </r>
    <r>
      <rPr>
        <b/>
        <u/>
        <sz val="12"/>
        <color rgb="FFFF0000"/>
        <rFont val="Arial"/>
        <family val="2"/>
      </rPr>
      <t xml:space="preserve">לפני רישום הנתונים בטבלה הנמצאת בצד ימין. </t>
    </r>
  </si>
  <si>
    <t>כל שימוש בתוכנית זו הינו באחריות המשתמש בלבד! ואין יוצר התוכנית נושא בשום אחריות לתוצאות השימוש. עצם השימוש בתוכנית מהווה את הבנתו והסכמתו של המשתמש לרישא שבהערה זו, ולתנאים הנזכרים כאן!!!</t>
  </si>
  <si>
    <t>CDJ</t>
  </si>
  <si>
    <t>שעת המראה</t>
  </si>
  <si>
    <t>זמן מעל נק'</t>
  </si>
  <si>
    <t>זמן טיסה</t>
  </si>
  <si>
    <t>הרצליה</t>
  </si>
  <si>
    <t>בצרה</t>
  </si>
  <si>
    <t xml:space="preserve">הדפס לטיסה: </t>
  </si>
  <si>
    <t>דף משקל ואיזון</t>
  </si>
  <si>
    <t>מפות ניווט</t>
  </si>
  <si>
    <t>דפיות כניסה ויציאה לשדה</t>
  </si>
  <si>
    <t>כיוון</t>
  </si>
  <si>
    <t>גובה</t>
  </si>
  <si>
    <t>מרחק</t>
  </si>
  <si>
    <t>מגמה</t>
  </si>
  <si>
    <t>בקרה</t>
  </si>
  <si>
    <t>ראשי</t>
  </si>
  <si>
    <t>משני</t>
  </si>
  <si>
    <t>VOR</t>
  </si>
  <si>
    <t>רדיאל</t>
  </si>
  <si>
    <t>תבנית ניווט - הרצליה, ראש פינה, חיפה, הרצליה.</t>
  </si>
  <si>
    <t>אל</t>
  </si>
  <si>
    <t>זמן (דק')</t>
  </si>
  <si>
    <t>בקר</t>
  </si>
  <si>
    <t>D\R</t>
  </si>
  <si>
    <t>דלק (usg)</t>
  </si>
  <si>
    <t>נתוני צריכת דלק C-152</t>
  </si>
  <si>
    <t>c-172</t>
  </si>
  <si>
    <t>060\040</t>
  </si>
  <si>
    <t>▲</t>
  </si>
  <si>
    <t>122.20</t>
  </si>
  <si>
    <t>129.40</t>
  </si>
  <si>
    <t>הנעה הסעה המראה</t>
  </si>
  <si>
    <t>צומת דרור</t>
  </si>
  <si>
    <t>008</t>
  </si>
  <si>
    <t>◄</t>
  </si>
  <si>
    <t>122:20</t>
  </si>
  <si>
    <t>129:40</t>
  </si>
  <si>
    <t xml:space="preserve">צומת השרון       </t>
  </si>
  <si>
    <t>פלוטו</t>
  </si>
  <si>
    <t>127.10</t>
  </si>
  <si>
    <t>134.80</t>
  </si>
  <si>
    <t>טיפוס מ S.L. ל- 3000</t>
  </si>
  <si>
    <t>חדרה</t>
  </si>
  <si>
    <t>360</t>
  </si>
  <si>
    <t>NAT 112.40</t>
  </si>
  <si>
    <t>259</t>
  </si>
  <si>
    <t>שיוט (23 סל"ד)</t>
  </si>
  <si>
    <t>gph</t>
  </si>
  <si>
    <t>עירון</t>
  </si>
  <si>
    <t>075</t>
  </si>
  <si>
    <t>337</t>
  </si>
  <si>
    <t>הנמכה ונחיתה</t>
  </si>
  <si>
    <t>מגידו</t>
  </si>
  <si>
    <t>055</t>
  </si>
  <si>
    <t>009</t>
  </si>
  <si>
    <t>רזרבה 45 דק'</t>
  </si>
  <si>
    <t>עפולה</t>
  </si>
  <si>
    <t>065</t>
  </si>
  <si>
    <t>RMD 113.7</t>
  </si>
  <si>
    <t>351</t>
  </si>
  <si>
    <t>תבור</t>
  </si>
  <si>
    <t>051</t>
  </si>
  <si>
    <t>116</t>
  </si>
  <si>
    <t>כרי דשא</t>
  </si>
  <si>
    <t>026</t>
  </si>
  <si>
    <t>ראש פינה</t>
  </si>
  <si>
    <t>118.45</t>
  </si>
  <si>
    <t>128.45</t>
  </si>
  <si>
    <t>ROP 115.30</t>
  </si>
  <si>
    <t>סה"כ כמות נדרשת</t>
  </si>
  <si>
    <t>דלק במיכלים</t>
  </si>
  <si>
    <t>כמות דלק עודף</t>
  </si>
  <si>
    <t>188</t>
  </si>
  <si>
    <t>206</t>
  </si>
  <si>
    <t>231</t>
  </si>
  <si>
    <t>245</t>
  </si>
  <si>
    <t>235</t>
  </si>
  <si>
    <t>255</t>
  </si>
  <si>
    <t>פורידיס</t>
  </si>
  <si>
    <t>▼</t>
  </si>
  <si>
    <t>עתלית</t>
  </si>
  <si>
    <t>003</t>
  </si>
  <si>
    <t>מחלף דרום</t>
  </si>
  <si>
    <t>002</t>
  </si>
  <si>
    <t>בת גלים</t>
  </si>
  <si>
    <t>חוף</t>
  </si>
  <si>
    <t>חיפה</t>
  </si>
  <si>
    <t>133.00</t>
  </si>
  <si>
    <t>127.80</t>
  </si>
  <si>
    <t>114</t>
  </si>
  <si>
    <t>294</t>
  </si>
  <si>
    <t>1000</t>
  </si>
  <si>
    <t>2000</t>
  </si>
  <si>
    <t>182</t>
  </si>
  <si>
    <t>183</t>
  </si>
  <si>
    <t>189</t>
  </si>
  <si>
    <t>צומת השרון</t>
  </si>
  <si>
    <t>180</t>
  </si>
  <si>
    <t>220</t>
  </si>
  <si>
    <t>1100</t>
  </si>
  <si>
    <t>מרחק nm</t>
  </si>
  <si>
    <t>זמן (שע')</t>
  </si>
  <si>
    <t>דלק נדרש</t>
  </si>
  <si>
    <t>רזרבה +</t>
  </si>
  <si>
    <t>סה"כ:</t>
  </si>
  <si>
    <t>הזמן אינו כולל זמן הסעה טיפוס והקפה</t>
  </si>
  <si>
    <t>תבנית ניווט - הרצליה, חיפה, הרצליה.</t>
  </si>
  <si>
    <t>כיוון מג'</t>
  </si>
  <si>
    <t>גובה מכ'</t>
  </si>
  <si>
    <t>תבנית ניווט - הרצליה, ראש פינה, הרצליה.</t>
  </si>
  <si>
    <t>תבנית ניווט - הרצליה, שדה תימן.</t>
  </si>
  <si>
    <t>תל ארשף</t>
  </si>
  <si>
    <t>W</t>
  </si>
  <si>
    <t>קאנטרי קלאב</t>
  </si>
  <si>
    <t>181</t>
  </si>
  <si>
    <t>שדה דוב</t>
  </si>
  <si>
    <t>124.00</t>
  </si>
  <si>
    <t>121.05</t>
  </si>
  <si>
    <t>200</t>
  </si>
  <si>
    <t>תל יונה</t>
  </si>
  <si>
    <t>201</t>
  </si>
  <si>
    <t>בית חנן</t>
  </si>
  <si>
    <t>137</t>
  </si>
  <si>
    <t>פלמחים</t>
  </si>
  <si>
    <t>135.55</t>
  </si>
  <si>
    <t>BGN 113.5</t>
  </si>
  <si>
    <t>260</t>
  </si>
  <si>
    <t>כפר הנגיד</t>
  </si>
  <si>
    <t>192</t>
  </si>
  <si>
    <t>224</t>
  </si>
  <si>
    <t>בית גמליאל</t>
  </si>
  <si>
    <t>אשדוד</t>
  </si>
  <si>
    <t>252</t>
  </si>
  <si>
    <t>212</t>
  </si>
  <si>
    <t>תל אשקלון</t>
  </si>
  <si>
    <t>חגב</t>
  </si>
  <si>
    <t>120.40</t>
  </si>
  <si>
    <t>225</t>
  </si>
  <si>
    <t>גברעם</t>
  </si>
  <si>
    <t>142</t>
  </si>
  <si>
    <t>217</t>
  </si>
  <si>
    <t>ברור חיל</t>
  </si>
  <si>
    <t>205</t>
  </si>
  <si>
    <t>בית קמה</t>
  </si>
  <si>
    <t>132</t>
  </si>
  <si>
    <t>BSA 114.3</t>
  </si>
  <si>
    <t>342</t>
  </si>
  <si>
    <t>שובל</t>
  </si>
  <si>
    <t>203</t>
  </si>
  <si>
    <t>012</t>
  </si>
  <si>
    <t>אשל הנשיא</t>
  </si>
  <si>
    <t>קדם</t>
  </si>
  <si>
    <t>118.60</t>
  </si>
  <si>
    <t>135.20</t>
  </si>
  <si>
    <t>007</t>
  </si>
  <si>
    <t>שדה תימן</t>
  </si>
  <si>
    <t>155</t>
  </si>
  <si>
    <t>122.5</t>
  </si>
  <si>
    <t>ש. עיוור</t>
  </si>
  <si>
    <t>152</t>
  </si>
  <si>
    <t>תל נוף</t>
  </si>
  <si>
    <t>335</t>
  </si>
  <si>
    <t>023</t>
  </si>
  <si>
    <t>332</t>
  </si>
  <si>
    <t>312</t>
  </si>
  <si>
    <t>322</t>
  </si>
  <si>
    <t>021</t>
  </si>
  <si>
    <t>072</t>
  </si>
  <si>
    <t>317</t>
  </si>
  <si>
    <t>N</t>
  </si>
  <si>
    <t>מרחק מVOR</t>
  </si>
  <si>
    <r>
      <t>חשוב מאוד! יש לשים לב כי בטבלת "הזנת הנתונים" - בצד שמאל - צריך להזין את נתוני המטוס הספציפי עליו אתם טסים, כפי שהם מופיעים בספר המטוס המקורי -</t>
    </r>
    <r>
      <rPr>
        <b/>
        <u/>
        <sz val="12"/>
        <color rgb="FFFF0000"/>
        <rFont val="Arial"/>
        <family val="2"/>
        <scheme val="minor"/>
      </rPr>
      <t xml:space="preserve"> לפני רישום הנתונים בטבלה הנמצאת בצד ימין. </t>
    </r>
  </si>
  <si>
    <t>מוצא</t>
  </si>
  <si>
    <t>טיפוס</t>
  </si>
  <si>
    <t>הנמכה</t>
  </si>
  <si>
    <t>ללא שינוי</t>
  </si>
  <si>
    <t>תדר ראשי</t>
  </si>
  <si>
    <t>תדר משני</t>
  </si>
  <si>
    <t>שם VOR ותדר</t>
  </si>
  <si>
    <t>דף זה עזר</t>
  </si>
  <si>
    <t>נחיתה 1</t>
  </si>
  <si>
    <t>נחיתה 2</t>
  </si>
  <si>
    <t>יעד סופי</t>
  </si>
  <si>
    <t>שדה נחיתה חלופי</t>
  </si>
  <si>
    <t>שם</t>
  </si>
  <si>
    <t>תדר</t>
  </si>
  <si>
    <t>טייס+נוסעים:</t>
  </si>
  <si>
    <t>מספר רישיון:</t>
  </si>
  <si>
    <t>מוצא ויעד:</t>
  </si>
  <si>
    <t>דלק בשעות:</t>
  </si>
  <si>
    <t>סוג המטוס:</t>
  </si>
  <si>
    <t>אות קריאה:</t>
  </si>
  <si>
    <t>סוג הטיסה:</t>
  </si>
  <si>
    <t>מרשה טיסה</t>
  </si>
  <si>
    <t>118.40</t>
  </si>
  <si>
    <t>119.15</t>
  </si>
  <si>
    <t>פוריידיס</t>
  </si>
  <si>
    <t>מחלף הדרום</t>
  </si>
  <si>
    <t>פלוטו/חיפה</t>
  </si>
  <si>
    <t>חיפה-הרצליה</t>
  </si>
  <si>
    <t>XXX</t>
  </si>
  <si>
    <t>CHV</t>
  </si>
  <si>
    <t>DAV</t>
  </si>
  <si>
    <t>CHD</t>
  </si>
  <si>
    <t>CWV</t>
  </si>
  <si>
    <t>נוסע שורה 2 (ליברות)</t>
  </si>
  <si>
    <t>נוסע שורה 3 (ליברות)</t>
  </si>
  <si>
    <t>נוסע שורה 4 (ליברות)</t>
  </si>
  <si>
    <t>זרוע נוסעים שורה 2 (אינצ')</t>
  </si>
  <si>
    <t>זרוע נוסעים שורה 3 (אינצ')</t>
  </si>
  <si>
    <t>זרוע נוסעים שורה 4 (אינצ')</t>
  </si>
  <si>
    <t>נוסעים שורה 2 (ק"ג)</t>
  </si>
  <si>
    <t xml:space="preserve">נוסעים שורה 3 </t>
  </si>
  <si>
    <t>נוסעים שורה 4</t>
  </si>
  <si>
    <t>FFF</t>
  </si>
  <si>
    <t>19.05.2020</t>
  </si>
  <si>
    <t>DBV</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</si>
</sst>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quot;₪&quot;\ * #,##0.00_ ;_ &quot;₪&quot;\ * \-#,##0.00_ ;_ &quot;₪&quot;\ * &quot;-&quot;??_ ;_ @_ "/>
    <numFmt numFmtId="164" formatCode="0.0"/>
    <numFmt numFmtId="165" formatCode="[$-1000000]h:mm;@"/>
    <numFmt numFmtId="166" formatCode="[h]:mm"/>
    <numFmt numFmtId="167" formatCode="0.00_ ;[Red]\-0.00\ "/>
    <numFmt numFmtId="168" formatCode="0_ ;[Red]\-0\ "/>
  </numFmts>
  <fonts count="28" x14ac:knownFonts="1">
    <font>
      <sz val="11"/>
      <color theme="1"/>
      <name val="Arial"/>
      <family val="2"/>
      <charset val="177"/>
      <scheme val="minor"/>
    </font>
    <font>
      <b/>
      <sz val="11"/>
      <color theme="1"/>
      <name val="Arial"/>
      <family val="2"/>
      <scheme val="minor"/>
    </font>
    <font>
      <b/>
      <sz val="11"/>
      <color theme="0"/>
      <name val="Arial"/>
      <family val="2"/>
      <scheme val="minor"/>
    </font>
    <font>
      <sz val="11"/>
      <color theme="1"/>
      <name val="Arial"/>
      <family val="2"/>
      <scheme val="minor"/>
    </font>
    <font>
      <sz val="11"/>
      <color rgb="FFFF0000"/>
      <name val="Arial"/>
      <family val="2"/>
      <charset val="177"/>
      <scheme val="minor"/>
    </font>
    <font>
      <b/>
      <sz val="11"/>
      <color rgb="FFFF0000"/>
      <name val="Arial"/>
      <family val="2"/>
      <scheme val="minor"/>
    </font>
    <font>
      <sz val="11"/>
      <color rgb="FF222222"/>
      <name val="Arial"/>
      <family val="2"/>
      <scheme val="minor"/>
    </font>
    <font>
      <b/>
      <sz val="12"/>
      <color rgb="FFFF0000"/>
      <name val="Arial"/>
      <family val="2"/>
      <scheme val="minor"/>
    </font>
    <font>
      <b/>
      <sz val="16"/>
      <color rgb="FFFF0000"/>
      <name val="Arial"/>
      <family val="2"/>
    </font>
    <font>
      <b/>
      <sz val="12"/>
      <color rgb="FFFF0000"/>
      <name val="Arial"/>
      <family val="2"/>
    </font>
    <font>
      <b/>
      <u/>
      <sz val="12"/>
      <color rgb="FFFF0000"/>
      <name val="Arial"/>
      <family val="2"/>
    </font>
    <font>
      <sz val="11"/>
      <color theme="1"/>
      <name val="Arial"/>
      <family val="2"/>
      <charset val="177"/>
      <scheme val="minor"/>
    </font>
    <font>
      <b/>
      <sz val="12"/>
      <name val="David"/>
      <family val="2"/>
      <charset val="177"/>
    </font>
    <font>
      <b/>
      <u/>
      <sz val="12"/>
      <color rgb="FFFF0000"/>
      <name val="Arial"/>
      <family val="2"/>
      <scheme val="minor"/>
    </font>
    <font>
      <sz val="12"/>
      <color theme="1"/>
      <name val="Arial"/>
      <family val="2"/>
      <scheme val="minor"/>
    </font>
    <font>
      <sz val="12"/>
      <name val="David"/>
      <family val="2"/>
      <charset val="177"/>
    </font>
    <font>
      <b/>
      <i/>
      <u/>
      <sz val="12"/>
      <name val="David"/>
      <family val="2"/>
      <charset val="177"/>
    </font>
    <font>
      <sz val="12"/>
      <color theme="1"/>
      <name val="Arial"/>
      <family val="2"/>
      <charset val="177"/>
      <scheme val="minor"/>
    </font>
    <font>
      <b/>
      <sz val="12"/>
      <color indexed="63"/>
      <name val="David"/>
      <family val="2"/>
      <charset val="177"/>
    </font>
    <font>
      <b/>
      <i/>
      <sz val="12"/>
      <name val="David"/>
      <family val="2"/>
      <charset val="177"/>
    </font>
    <font>
      <sz val="12"/>
      <color indexed="8"/>
      <name val="David"/>
      <family val="2"/>
      <charset val="177"/>
    </font>
    <font>
      <sz val="12"/>
      <name val="Arial"/>
      <family val="2"/>
    </font>
    <font>
      <b/>
      <sz val="12"/>
      <color indexed="8"/>
      <name val="David"/>
      <family val="2"/>
      <charset val="177"/>
    </font>
    <font>
      <sz val="12"/>
      <name val="Wingdings"/>
      <charset val="2"/>
    </font>
    <font>
      <b/>
      <sz val="12"/>
      <name val="Arial"/>
      <family val="2"/>
    </font>
    <font>
      <sz val="11"/>
      <color rgb="FF9C0006"/>
      <name val="Arial"/>
      <family val="2"/>
      <charset val="177"/>
      <scheme val="minor"/>
    </font>
    <font>
      <b/>
      <sz val="11"/>
      <color rgb="FF9C0006"/>
      <name val="Arial"/>
      <family val="2"/>
      <scheme val="minor"/>
    </font>
    <font>
      <b/>
      <sz val="8"/>
      <color indexed="81"/>
      <name val="Tahoma"/>
      <family val="2"/>
    </font>
  </fonts>
  <fills count="1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indexed="9"/>
        <bgColor indexed="64"/>
      </patternFill>
    </fill>
    <fill>
      <patternFill patternType="solid">
        <fgColor indexed="44"/>
        <bgColor indexed="64"/>
      </patternFill>
    </fill>
    <fill>
      <patternFill patternType="solid">
        <fgColor rgb="FFFFC7CE"/>
      </patternFill>
    </fill>
    <fill>
      <patternFill patternType="solid">
        <fgColor rgb="FFFF000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ck">
        <color theme="9" tint="-0.24994659260841701"/>
      </left>
      <right style="medium">
        <color indexed="64"/>
      </right>
      <top style="thick">
        <color theme="9" tint="-0.24994659260841701"/>
      </top>
      <bottom style="thick">
        <color theme="9" tint="-0.24994659260841701"/>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ck">
        <color theme="9" tint="-0.24994659260841701"/>
      </left>
      <right style="thick">
        <color theme="9" tint="-0.24994659260841701"/>
      </right>
      <top style="thick">
        <color theme="9" tint="-0.24994659260841701"/>
      </top>
      <bottom style="medium">
        <color indexed="64"/>
      </bottom>
      <diagonal/>
    </border>
    <border>
      <left style="medium">
        <color indexed="64"/>
      </left>
      <right style="thick">
        <color theme="9" tint="-0.24994659260841701"/>
      </right>
      <top style="thick">
        <color theme="9" tint="-0.24994659260841701"/>
      </top>
      <bottom style="thick">
        <color theme="9" tint="-0.24994659260841701"/>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style="thick">
        <color theme="9" tint="-0.24994659260841701"/>
      </left>
      <right/>
      <top style="thick">
        <color theme="9" tint="-0.24994659260841701"/>
      </top>
      <bottom style="thick">
        <color theme="9" tint="-0.24994659260841701"/>
      </bottom>
      <diagonal/>
    </border>
    <border>
      <left/>
      <right/>
      <top style="thick">
        <color theme="9" tint="-0.24994659260841701"/>
      </top>
      <bottom style="thick">
        <color theme="9" tint="-0.24994659260841701"/>
      </bottom>
      <diagonal/>
    </border>
    <border>
      <left/>
      <right style="thick">
        <color theme="9" tint="-0.24994659260841701"/>
      </right>
      <top style="thick">
        <color theme="9" tint="-0.24994659260841701"/>
      </top>
      <bottom style="thick">
        <color theme="9" tint="-0.24994659260841701"/>
      </bottom>
      <diagonal/>
    </border>
    <border>
      <left style="thin">
        <color indexed="64"/>
      </left>
      <right/>
      <top/>
      <bottom/>
      <diagonal/>
    </border>
    <border>
      <left style="medium">
        <color indexed="64"/>
      </left>
      <right style="medium">
        <color indexed="64"/>
      </right>
      <top style="medium">
        <color indexed="64"/>
      </top>
      <bottom/>
      <diagonal/>
    </border>
    <border>
      <left style="double">
        <color indexed="55"/>
      </left>
      <right style="thin">
        <color indexed="55"/>
      </right>
      <top style="double">
        <color indexed="55"/>
      </top>
      <bottom style="double">
        <color indexed="55"/>
      </bottom>
      <diagonal/>
    </border>
    <border>
      <left style="thin">
        <color indexed="55"/>
      </left>
      <right style="thin">
        <color indexed="55"/>
      </right>
      <top style="double">
        <color indexed="55"/>
      </top>
      <bottom style="double">
        <color indexed="55"/>
      </bottom>
      <diagonal/>
    </border>
    <border>
      <left style="thin">
        <color indexed="55"/>
      </left>
      <right style="double">
        <color indexed="55"/>
      </right>
      <top style="double">
        <color indexed="55"/>
      </top>
      <bottom style="double">
        <color indexed="55"/>
      </bottom>
      <diagonal/>
    </border>
    <border>
      <left style="double">
        <color indexed="55"/>
      </left>
      <right style="thin">
        <color indexed="55"/>
      </right>
      <top style="double">
        <color indexed="55"/>
      </top>
      <bottom style="thin">
        <color indexed="55"/>
      </bottom>
      <diagonal/>
    </border>
    <border>
      <left style="thin">
        <color indexed="55"/>
      </left>
      <right style="thin">
        <color indexed="55"/>
      </right>
      <top style="double">
        <color indexed="55"/>
      </top>
      <bottom style="thin">
        <color indexed="55"/>
      </bottom>
      <diagonal/>
    </border>
    <border>
      <left style="thin">
        <color indexed="55"/>
      </left>
      <right/>
      <top style="double">
        <color indexed="55"/>
      </top>
      <bottom style="thin">
        <color indexed="55"/>
      </bottom>
      <diagonal/>
    </border>
    <border>
      <left style="double">
        <color indexed="55"/>
      </left>
      <right style="double">
        <color indexed="55"/>
      </right>
      <top style="double">
        <color indexed="55"/>
      </top>
      <bottom style="thin">
        <color indexed="55"/>
      </bottom>
      <diagonal/>
    </border>
    <border>
      <left style="double">
        <color indexed="55"/>
      </left>
      <right/>
      <top style="double">
        <color indexed="55"/>
      </top>
      <bottom/>
      <diagonal/>
    </border>
    <border>
      <left/>
      <right/>
      <top style="double">
        <color indexed="55"/>
      </top>
      <bottom/>
      <diagonal/>
    </border>
    <border>
      <left/>
      <right style="double">
        <color indexed="55"/>
      </right>
      <top style="double">
        <color indexed="55"/>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bottom style="thin">
        <color indexed="55"/>
      </bottom>
      <diagonal/>
    </border>
    <border>
      <left style="double">
        <color indexed="55"/>
      </left>
      <right style="double">
        <color indexed="55"/>
      </right>
      <top/>
      <bottom style="thin">
        <color indexed="55"/>
      </bottom>
      <diagonal/>
    </border>
    <border>
      <left style="double">
        <color indexed="55"/>
      </left>
      <right/>
      <top/>
      <bottom/>
      <diagonal/>
    </border>
    <border>
      <left/>
      <right style="double">
        <color indexed="55"/>
      </right>
      <top/>
      <bottom/>
      <diagonal/>
    </border>
    <border>
      <left style="double">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double">
        <color indexed="55"/>
      </left>
      <right style="double">
        <color indexed="55"/>
      </right>
      <top style="thin">
        <color indexed="55"/>
      </top>
      <bottom style="thin">
        <color indexed="55"/>
      </bottom>
      <diagonal/>
    </border>
    <border>
      <left style="double">
        <color indexed="55"/>
      </left>
      <right/>
      <top/>
      <bottom style="double">
        <color indexed="55"/>
      </bottom>
      <diagonal/>
    </border>
    <border>
      <left/>
      <right/>
      <top/>
      <bottom style="double">
        <color indexed="55"/>
      </bottom>
      <diagonal/>
    </border>
    <border>
      <left/>
      <right style="double">
        <color indexed="55"/>
      </right>
      <top/>
      <bottom style="double">
        <color indexed="55"/>
      </bottom>
      <diagonal/>
    </border>
    <border>
      <left/>
      <right/>
      <top style="double">
        <color indexed="55"/>
      </top>
      <bottom style="double">
        <color indexed="55"/>
      </bottom>
      <diagonal/>
    </border>
    <border>
      <left/>
      <right style="thin">
        <color indexed="55"/>
      </right>
      <top style="double">
        <color indexed="55"/>
      </top>
      <bottom style="double">
        <color indexed="55"/>
      </bottom>
      <diagonal/>
    </border>
    <border>
      <left style="double">
        <color indexed="55"/>
      </left>
      <right/>
      <top style="double">
        <color indexed="55"/>
      </top>
      <bottom style="double">
        <color indexed="55"/>
      </bottom>
      <diagonal/>
    </border>
    <border>
      <left style="double">
        <color indexed="55"/>
      </left>
      <right style="double">
        <color indexed="55"/>
      </right>
      <top style="double">
        <color indexed="55"/>
      </top>
      <bottom style="double">
        <color indexed="55"/>
      </bottom>
      <diagonal/>
    </border>
    <border>
      <left style="double">
        <color indexed="55"/>
      </left>
      <right style="double">
        <color indexed="55"/>
      </right>
      <top/>
      <bottom/>
      <diagonal/>
    </border>
    <border>
      <left style="double">
        <color indexed="55"/>
      </left>
      <right style="thin">
        <color indexed="55"/>
      </right>
      <top/>
      <bottom style="thin">
        <color indexed="55"/>
      </bottom>
      <diagonal/>
    </border>
    <border>
      <left style="thin">
        <color indexed="55"/>
      </left>
      <right style="double">
        <color indexed="55"/>
      </right>
      <top style="double">
        <color indexed="55"/>
      </top>
      <bottom style="thin">
        <color indexed="55"/>
      </bottom>
      <diagonal/>
    </border>
    <border>
      <left/>
      <right style="double">
        <color indexed="55"/>
      </right>
      <top/>
      <bottom style="thin">
        <color indexed="55"/>
      </bottom>
      <diagonal/>
    </border>
    <border>
      <left style="thin">
        <color indexed="55"/>
      </left>
      <right style="double">
        <color indexed="55"/>
      </right>
      <top/>
      <bottom style="thin">
        <color indexed="55"/>
      </bottom>
      <diagonal/>
    </border>
    <border>
      <left style="thin">
        <color indexed="55"/>
      </left>
      <right style="double">
        <color indexed="55"/>
      </right>
      <top style="thin">
        <color indexed="55"/>
      </top>
      <bottom style="thin">
        <color indexed="55"/>
      </bottom>
      <diagonal/>
    </border>
    <border>
      <left style="thin">
        <color indexed="55"/>
      </left>
      <right style="thin">
        <color indexed="55"/>
      </right>
      <top style="double">
        <color indexed="55"/>
      </top>
      <bottom/>
      <diagonal/>
    </border>
    <border>
      <left style="double">
        <color indexed="55"/>
      </left>
      <right style="thin">
        <color indexed="55"/>
      </right>
      <top style="thin">
        <color indexed="55"/>
      </top>
      <bottom style="double">
        <color indexed="55"/>
      </bottom>
      <diagonal/>
    </border>
    <border>
      <left style="thin">
        <color indexed="55"/>
      </left>
      <right style="thin">
        <color indexed="55"/>
      </right>
      <top style="thin">
        <color indexed="55"/>
      </top>
      <bottom style="double">
        <color indexed="55"/>
      </bottom>
      <diagonal/>
    </border>
    <border>
      <left style="thin">
        <color indexed="55"/>
      </left>
      <right style="double">
        <color indexed="55"/>
      </right>
      <top style="thin">
        <color indexed="55"/>
      </top>
      <bottom style="double">
        <color indexed="5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ck">
        <color theme="9" tint="-0.24994659260841701"/>
      </right>
      <top/>
      <bottom style="thick">
        <color theme="9" tint="-0.24994659260841701"/>
      </bottom>
      <diagonal/>
    </border>
    <border>
      <left style="thick">
        <color theme="9" tint="-0.24994659260841701"/>
      </left>
      <right style="thick">
        <color theme="9" tint="-0.24994659260841701"/>
      </right>
      <top/>
      <bottom style="thick">
        <color theme="9" tint="-0.24994659260841701"/>
      </bottom>
      <diagonal/>
    </border>
    <border>
      <left style="thin">
        <color indexed="64"/>
      </left>
      <right style="medium">
        <color indexed="64"/>
      </right>
      <top style="medium">
        <color indexed="64"/>
      </top>
      <bottom/>
      <diagonal/>
    </border>
    <border>
      <left/>
      <right style="thick">
        <color theme="9" tint="-0.24994659260841701"/>
      </right>
      <top/>
      <bottom style="thin">
        <color indexed="64"/>
      </bottom>
      <diagonal/>
    </border>
    <border>
      <left style="medium">
        <color theme="9"/>
      </left>
      <right style="medium">
        <color theme="9"/>
      </right>
      <top style="medium">
        <color theme="9"/>
      </top>
      <bottom style="medium">
        <color theme="9"/>
      </bottom>
      <diagonal/>
    </border>
    <border>
      <left style="medium">
        <color theme="9"/>
      </left>
      <right style="thin">
        <color indexed="64"/>
      </right>
      <top style="medium">
        <color theme="9"/>
      </top>
      <bottom style="medium">
        <color theme="9"/>
      </bottom>
      <diagonal/>
    </border>
    <border>
      <left style="thin">
        <color indexed="64"/>
      </left>
      <right style="medium">
        <color theme="9"/>
      </right>
      <top style="medium">
        <color theme="9"/>
      </top>
      <bottom style="medium">
        <color theme="9"/>
      </bottom>
      <diagonal/>
    </border>
    <border>
      <left style="medium">
        <color indexed="64"/>
      </left>
      <right style="thin">
        <color indexed="64"/>
      </right>
      <top style="thin">
        <color indexed="64"/>
      </top>
      <bottom/>
      <diagonal/>
    </border>
    <border>
      <left style="medium">
        <color indexed="64"/>
      </left>
      <right/>
      <top style="medium">
        <color indexed="64"/>
      </top>
      <bottom style="thick">
        <color theme="9" tint="-0.24994659260841701"/>
      </bottom>
      <diagonal/>
    </border>
    <border>
      <left/>
      <right/>
      <top style="medium">
        <color indexed="64"/>
      </top>
      <bottom style="thick">
        <color theme="9" tint="-0.24994659260841701"/>
      </bottom>
      <diagonal/>
    </border>
    <border>
      <left/>
      <right style="medium">
        <color indexed="64"/>
      </right>
      <top style="medium">
        <color indexed="64"/>
      </top>
      <bottom style="thick">
        <color theme="9" tint="-0.24994659260841701"/>
      </bottom>
      <diagonal/>
    </border>
  </borders>
  <cellStyleXfs count="4">
    <xf numFmtId="0" fontId="0" fillId="0" borderId="0"/>
    <xf numFmtId="0" fontId="4" fillId="0" borderId="0" applyNumberFormat="0" applyFill="0" applyBorder="0" applyAlignment="0" applyProtection="0"/>
    <xf numFmtId="44" fontId="11" fillId="0" borderId="0" applyFont="0" applyFill="0" applyBorder="0" applyAlignment="0" applyProtection="0"/>
    <xf numFmtId="0" fontId="25" fillId="17" borderId="0" applyNumberFormat="0" applyBorder="0" applyAlignment="0" applyProtection="0"/>
  </cellStyleXfs>
  <cellXfs count="304">
    <xf numFmtId="0" fontId="0" fillId="0" borderId="0" xfId="0"/>
    <xf numFmtId="0" fontId="0" fillId="2" borderId="0" xfId="0" applyFill="1" applyBorder="1" applyProtection="1">
      <protection hidden="1"/>
    </xf>
    <xf numFmtId="0" fontId="0" fillId="2" borderId="0" xfId="0" applyFill="1"/>
    <xf numFmtId="0" fontId="0" fillId="2" borderId="12" xfId="0" applyFill="1" applyBorder="1" applyProtection="1">
      <protection hidden="1"/>
    </xf>
    <xf numFmtId="0" fontId="0" fillId="2" borderId="0" xfId="0" applyFill="1" applyBorder="1"/>
    <xf numFmtId="0" fontId="0" fillId="2" borderId="25" xfId="0" applyFill="1" applyBorder="1" applyProtection="1">
      <protection locked="0"/>
    </xf>
    <xf numFmtId="0" fontId="0" fillId="2" borderId="25" xfId="0" applyFill="1" applyBorder="1"/>
    <xf numFmtId="0" fontId="3" fillId="2" borderId="25" xfId="0" applyFont="1" applyFill="1" applyBorder="1" applyProtection="1">
      <protection locked="0"/>
    </xf>
    <xf numFmtId="0" fontId="1" fillId="12" borderId="22" xfId="0" applyFont="1" applyFill="1" applyBorder="1" applyProtection="1"/>
    <xf numFmtId="0" fontId="1" fillId="12" borderId="15" xfId="0" applyFont="1" applyFill="1" applyBorder="1" applyProtection="1"/>
    <xf numFmtId="0" fontId="0" fillId="2" borderId="5" xfId="0" applyFill="1" applyBorder="1" applyProtection="1"/>
    <xf numFmtId="0" fontId="0" fillId="2" borderId="6" xfId="0" applyFill="1" applyBorder="1" applyProtection="1"/>
    <xf numFmtId="0" fontId="0" fillId="2" borderId="0" xfId="0" applyFill="1" applyProtection="1"/>
    <xf numFmtId="0" fontId="0" fillId="2" borderId="0" xfId="0" applyFill="1" applyBorder="1" applyProtection="1"/>
    <xf numFmtId="0" fontId="0" fillId="2" borderId="8" xfId="0" applyFill="1" applyBorder="1" applyProtection="1"/>
    <xf numFmtId="0" fontId="0" fillId="2" borderId="7" xfId="0" applyFill="1" applyBorder="1" applyProtection="1"/>
    <xf numFmtId="0" fontId="0" fillId="2" borderId="10" xfId="0" applyFill="1" applyBorder="1" applyProtection="1"/>
    <xf numFmtId="0" fontId="0" fillId="2" borderId="11" xfId="0" applyFill="1" applyBorder="1" applyProtection="1"/>
    <xf numFmtId="0" fontId="1" fillId="14" borderId="13" xfId="0" applyFont="1" applyFill="1" applyBorder="1" applyProtection="1"/>
    <xf numFmtId="0" fontId="0" fillId="12" borderId="1" xfId="0" applyFill="1" applyBorder="1"/>
    <xf numFmtId="0" fontId="0" fillId="12" borderId="12" xfId="0" applyFill="1" applyBorder="1" applyAlignment="1">
      <alignment horizontal="right"/>
    </xf>
    <xf numFmtId="0" fontId="0" fillId="12" borderId="18" xfId="0" applyFill="1" applyBorder="1"/>
    <xf numFmtId="0" fontId="0" fillId="12" borderId="30" xfId="0" applyFill="1" applyBorder="1" applyAlignment="1">
      <alignment horizontal="right"/>
    </xf>
    <xf numFmtId="0" fontId="0" fillId="2" borderId="26" xfId="0" applyFill="1" applyBorder="1"/>
    <xf numFmtId="0" fontId="0" fillId="2" borderId="25" xfId="0" applyFill="1" applyBorder="1" applyProtection="1">
      <protection hidden="1"/>
    </xf>
    <xf numFmtId="0" fontId="0" fillId="2" borderId="27" xfId="0" applyFill="1" applyBorder="1" applyProtection="1">
      <protection hidden="1"/>
    </xf>
    <xf numFmtId="0" fontId="0" fillId="2" borderId="28" xfId="0" applyFill="1" applyBorder="1" applyProtection="1">
      <protection hidden="1"/>
    </xf>
    <xf numFmtId="0" fontId="0" fillId="2" borderId="24" xfId="0" applyFill="1" applyBorder="1" applyProtection="1">
      <protection hidden="1"/>
    </xf>
    <xf numFmtId="0" fontId="0" fillId="2" borderId="29" xfId="0" applyFill="1" applyBorder="1" applyProtection="1">
      <protection hidden="1"/>
    </xf>
    <xf numFmtId="0" fontId="0" fillId="2" borderId="21" xfId="0" applyFill="1" applyBorder="1" applyProtection="1">
      <protection hidden="1"/>
    </xf>
    <xf numFmtId="0" fontId="0" fillId="2" borderId="8" xfId="0" applyFill="1" applyBorder="1"/>
    <xf numFmtId="0" fontId="0" fillId="2" borderId="7" xfId="0" applyFill="1" applyBorder="1"/>
    <xf numFmtId="0" fontId="0" fillId="2" borderId="29" xfId="0" applyFill="1" applyBorder="1"/>
    <xf numFmtId="0" fontId="0" fillId="2" borderId="31" xfId="0" applyFill="1" applyBorder="1"/>
    <xf numFmtId="0" fontId="0" fillId="2" borderId="32" xfId="0" applyFill="1" applyBorder="1"/>
    <xf numFmtId="0" fontId="0" fillId="2" borderId="10" xfId="0" applyFill="1" applyBorder="1"/>
    <xf numFmtId="0" fontId="0" fillId="2" borderId="11" xfId="0" applyFill="1" applyBorder="1"/>
    <xf numFmtId="0" fontId="0" fillId="2" borderId="1" xfId="0" applyFill="1" applyBorder="1" applyAlignment="1" applyProtection="1">
      <alignment horizontal="left" vertical="justify"/>
      <protection hidden="1"/>
    </xf>
    <xf numFmtId="0" fontId="0" fillId="2" borderId="0" xfId="0" applyFill="1" applyBorder="1" applyAlignment="1" applyProtection="1">
      <alignment horizontal="left" vertical="justify"/>
      <protection hidden="1"/>
    </xf>
    <xf numFmtId="0" fontId="0" fillId="2" borderId="12" xfId="0" applyFill="1" applyBorder="1" applyProtection="1"/>
    <xf numFmtId="0" fontId="0" fillId="2" borderId="1" xfId="0" applyFill="1" applyBorder="1" applyProtection="1"/>
    <xf numFmtId="3" fontId="0" fillId="2" borderId="1" xfId="0" applyNumberFormat="1" applyFill="1" applyBorder="1" applyProtection="1"/>
    <xf numFmtId="0" fontId="0" fillId="2" borderId="3" xfId="0" applyFill="1" applyBorder="1" applyProtection="1"/>
    <xf numFmtId="0" fontId="0" fillId="2" borderId="0" xfId="0" applyFill="1" applyBorder="1" applyAlignment="1" applyProtection="1">
      <alignment horizontal="right"/>
    </xf>
    <xf numFmtId="164" fontId="0" fillId="2" borderId="0" xfId="0" applyNumberFormat="1" applyFill="1" applyBorder="1" applyProtection="1"/>
    <xf numFmtId="164" fontId="0" fillId="2" borderId="1" xfId="0" applyNumberFormat="1" applyFill="1" applyBorder="1" applyProtection="1"/>
    <xf numFmtId="0" fontId="2" fillId="2" borderId="0" xfId="0" applyFont="1" applyFill="1" applyBorder="1" applyProtection="1"/>
    <xf numFmtId="0" fontId="3" fillId="2" borderId="33" xfId="0" applyFont="1" applyFill="1" applyBorder="1" applyProtection="1">
      <protection locked="0"/>
    </xf>
    <xf numFmtId="0" fontId="0" fillId="12" borderId="18" xfId="0" applyFill="1" applyBorder="1" applyAlignment="1">
      <alignment horizontal="right"/>
    </xf>
    <xf numFmtId="0" fontId="0" fillId="13" borderId="14" xfId="0" applyFill="1" applyBorder="1" applyProtection="1"/>
    <xf numFmtId="0" fontId="0" fillId="13" borderId="15" xfId="0" applyFill="1" applyBorder="1" applyProtection="1"/>
    <xf numFmtId="0" fontId="1" fillId="8" borderId="17" xfId="0" applyFont="1" applyFill="1" applyBorder="1" applyProtection="1"/>
    <xf numFmtId="0" fontId="1" fillId="5" borderId="26" xfId="0" applyFont="1" applyFill="1" applyBorder="1" applyProtection="1"/>
    <xf numFmtId="0" fontId="1" fillId="2" borderId="17" xfId="0" applyFont="1" applyFill="1" applyBorder="1" applyAlignment="1" applyProtection="1">
      <alignment horizontal="right"/>
    </xf>
    <xf numFmtId="0" fontId="1" fillId="2" borderId="17" xfId="0" applyFont="1" applyFill="1" applyBorder="1" applyProtection="1"/>
    <xf numFmtId="0" fontId="3" fillId="13" borderId="17" xfId="0" applyFont="1" applyFill="1" applyBorder="1" applyAlignment="1" applyProtection="1">
      <alignment horizontal="center"/>
    </xf>
    <xf numFmtId="0" fontId="0" fillId="2" borderId="0" xfId="0" applyFill="1" applyBorder="1" applyAlignment="1" applyProtection="1"/>
    <xf numFmtId="0" fontId="1" fillId="3" borderId="17" xfId="0" applyFont="1" applyFill="1" applyBorder="1" applyAlignment="1" applyProtection="1">
      <alignment horizontal="center"/>
    </xf>
    <xf numFmtId="0" fontId="0" fillId="12" borderId="13" xfId="0" applyFill="1" applyBorder="1"/>
    <xf numFmtId="0" fontId="0" fillId="12" borderId="21" xfId="0" applyFill="1" applyBorder="1"/>
    <xf numFmtId="0" fontId="5" fillId="2" borderId="34" xfId="1" applyFont="1" applyFill="1" applyBorder="1" applyAlignment="1">
      <alignment horizontal="center" vertical="justify"/>
    </xf>
    <xf numFmtId="0" fontId="0" fillId="2" borderId="0" xfId="0" applyFill="1" applyAlignment="1" applyProtection="1">
      <alignment horizontal="left" vertical="justify"/>
    </xf>
    <xf numFmtId="0" fontId="0" fillId="2" borderId="25" xfId="0" applyFill="1" applyBorder="1" applyAlignment="1" applyProtection="1">
      <alignment horizontal="left" vertical="justify"/>
    </xf>
    <xf numFmtId="0" fontId="0" fillId="2" borderId="13" xfId="0" applyFill="1" applyBorder="1" applyAlignment="1" applyProtection="1">
      <alignment horizontal="left" vertical="justify"/>
    </xf>
    <xf numFmtId="0" fontId="0" fillId="2" borderId="1" xfId="0" applyFill="1" applyBorder="1" applyAlignment="1" applyProtection="1">
      <alignment horizontal="left" vertical="justify"/>
    </xf>
    <xf numFmtId="164" fontId="0" fillId="2" borderId="0" xfId="0" applyNumberFormat="1" applyFill="1" applyBorder="1" applyProtection="1">
      <protection hidden="1"/>
    </xf>
    <xf numFmtId="0" fontId="1" fillId="12" borderId="1" xfId="0" applyFont="1" applyFill="1" applyBorder="1" applyAlignment="1" applyProtection="1">
      <alignment horizontal="center" vertical="justify"/>
    </xf>
    <xf numFmtId="0" fontId="1" fillId="12" borderId="12" xfId="0" applyFont="1" applyFill="1" applyBorder="1" applyAlignment="1" applyProtection="1">
      <alignment horizontal="center" vertical="justify"/>
    </xf>
    <xf numFmtId="0" fontId="6" fillId="0" borderId="1" xfId="0" applyFont="1" applyBorder="1" applyAlignment="1">
      <alignment horizontal="left" vertical="justify"/>
    </xf>
    <xf numFmtId="0" fontId="1" fillId="2" borderId="41" xfId="0" applyFont="1" applyFill="1" applyBorder="1" applyAlignment="1">
      <alignment horizontal="center"/>
    </xf>
    <xf numFmtId="14" fontId="0" fillId="2" borderId="25" xfId="0" applyNumberFormat="1" applyFill="1" applyBorder="1" applyAlignment="1">
      <alignment horizontal="center"/>
    </xf>
    <xf numFmtId="0" fontId="7" fillId="0" borderId="1" xfId="0" applyFont="1" applyBorder="1" applyAlignment="1">
      <alignment wrapText="1"/>
    </xf>
    <xf numFmtId="0" fontId="7" fillId="2" borderId="7" xfId="0" applyFont="1" applyFill="1" applyBorder="1" applyProtection="1"/>
    <xf numFmtId="0" fontId="7" fillId="2" borderId="4" xfId="0" applyFont="1" applyFill="1" applyBorder="1" applyProtection="1"/>
    <xf numFmtId="0" fontId="7" fillId="2" borderId="9" xfId="0" applyFont="1" applyFill="1" applyBorder="1" applyProtection="1"/>
    <xf numFmtId="22" fontId="0" fillId="2" borderId="0" xfId="0" applyNumberFormat="1" applyFill="1"/>
    <xf numFmtId="0" fontId="0" fillId="2" borderId="5" xfId="0" applyFill="1" applyBorder="1" applyProtection="1">
      <protection hidden="1"/>
    </xf>
    <xf numFmtId="0" fontId="1" fillId="10" borderId="26" xfId="0" applyFont="1" applyFill="1" applyBorder="1" applyProtection="1"/>
    <xf numFmtId="0" fontId="1" fillId="9" borderId="26" xfId="0" applyFont="1" applyFill="1" applyBorder="1" applyProtection="1"/>
    <xf numFmtId="0" fontId="1" fillId="4" borderId="26" xfId="0" applyFont="1" applyFill="1" applyBorder="1" applyProtection="1"/>
    <xf numFmtId="0" fontId="1" fillId="11" borderId="26" xfId="0" applyFont="1" applyFill="1" applyBorder="1" applyProtection="1"/>
    <xf numFmtId="0" fontId="1" fillId="2" borderId="17" xfId="0" applyFont="1" applyFill="1" applyBorder="1" applyAlignment="1" applyProtection="1">
      <alignment horizontal="center"/>
    </xf>
    <xf numFmtId="14" fontId="0" fillId="2" borderId="0" xfId="0" applyNumberFormat="1" applyFill="1" applyBorder="1" applyAlignment="1">
      <alignment horizontal="center"/>
    </xf>
    <xf numFmtId="0" fontId="9" fillId="0" borderId="1" xfId="0" applyFont="1" applyBorder="1" applyAlignment="1">
      <alignment horizontal="left" vertical="justify" readingOrder="2"/>
    </xf>
    <xf numFmtId="0" fontId="8" fillId="0" borderId="1" xfId="0" applyFont="1" applyBorder="1" applyAlignment="1">
      <alignment horizontal="left" vertical="justify" readingOrder="2"/>
    </xf>
    <xf numFmtId="0" fontId="0" fillId="13" borderId="17" xfId="0" applyFill="1" applyBorder="1" applyAlignment="1" applyProtection="1">
      <alignment horizontal="center"/>
    </xf>
    <xf numFmtId="0" fontId="2" fillId="2" borderId="8" xfId="0" applyFont="1" applyFill="1" applyBorder="1" applyProtection="1"/>
    <xf numFmtId="0" fontId="3" fillId="2" borderId="25" xfId="0" applyFont="1" applyFill="1" applyBorder="1" applyAlignment="1" applyProtection="1">
      <alignment horizontal="center"/>
      <protection locked="0"/>
    </xf>
    <xf numFmtId="21" fontId="0" fillId="2" borderId="3" xfId="0" applyNumberFormat="1" applyFill="1" applyBorder="1" applyAlignment="1" applyProtection="1">
      <alignment horizontal="center"/>
    </xf>
    <xf numFmtId="0" fontId="0" fillId="14" borderId="13" xfId="0" applyFill="1" applyBorder="1" applyAlignment="1" applyProtection="1">
      <alignment horizontal="center"/>
    </xf>
    <xf numFmtId="21" fontId="0" fillId="14" borderId="1" xfId="0" applyNumberFormat="1" applyFill="1" applyBorder="1" applyAlignment="1" applyProtection="1">
      <alignment horizontal="center"/>
    </xf>
    <xf numFmtId="21" fontId="0" fillId="14" borderId="3" xfId="0" applyNumberFormat="1" applyFill="1" applyBorder="1" applyAlignment="1" applyProtection="1">
      <alignment horizontal="center"/>
    </xf>
    <xf numFmtId="164" fontId="0" fillId="14" borderId="1" xfId="0" applyNumberFormat="1" applyFill="1" applyBorder="1" applyAlignment="1" applyProtection="1">
      <alignment horizontal="center"/>
    </xf>
    <xf numFmtId="0" fontId="0" fillId="2" borderId="25" xfId="0" applyFill="1" applyBorder="1" applyAlignment="1" applyProtection="1">
      <alignment horizontal="center"/>
      <protection locked="0"/>
    </xf>
    <xf numFmtId="165" fontId="0" fillId="2" borderId="25" xfId="0" applyNumberFormat="1" applyFill="1" applyBorder="1" applyAlignment="1" applyProtection="1">
      <alignment horizontal="center"/>
      <protection locked="0"/>
    </xf>
    <xf numFmtId="49" fontId="12" fillId="0" borderId="47" xfId="0" applyNumberFormat="1" applyFont="1" applyBorder="1" applyAlignment="1" applyProtection="1">
      <alignment horizontal="center" vertical="center" readingOrder="2"/>
      <protection locked="0"/>
    </xf>
    <xf numFmtId="49" fontId="12" fillId="0" borderId="59" xfId="0" applyNumberFormat="1" applyFont="1" applyBorder="1" applyAlignment="1" applyProtection="1">
      <alignment horizontal="center" vertical="center" readingOrder="2"/>
      <protection locked="0"/>
    </xf>
    <xf numFmtId="49" fontId="12" fillId="0" borderId="54" xfId="0" applyNumberFormat="1" applyFont="1" applyBorder="1" applyAlignment="1" applyProtection="1">
      <alignment horizontal="center" vertical="center" readingOrder="2"/>
      <protection locked="0"/>
    </xf>
    <xf numFmtId="164" fontId="1" fillId="6" borderId="21" xfId="0" applyNumberFormat="1" applyFont="1" applyFill="1" applyBorder="1" applyAlignment="1" applyProtection="1">
      <alignment horizontal="center"/>
    </xf>
    <xf numFmtId="0" fontId="0" fillId="6" borderId="17" xfId="0" applyFill="1" applyBorder="1" applyProtection="1"/>
    <xf numFmtId="164" fontId="1" fillId="6" borderId="18" xfId="0" applyNumberFormat="1" applyFont="1" applyFill="1" applyBorder="1" applyAlignment="1" applyProtection="1">
      <alignment horizontal="center"/>
    </xf>
    <xf numFmtId="164" fontId="1" fillId="5" borderId="18" xfId="0" applyNumberFormat="1" applyFont="1" applyFill="1" applyBorder="1" applyAlignment="1" applyProtection="1">
      <alignment horizontal="center"/>
    </xf>
    <xf numFmtId="21" fontId="1" fillId="7" borderId="18" xfId="0" applyNumberFormat="1" applyFont="1" applyFill="1" applyBorder="1" applyAlignment="1" applyProtection="1">
      <alignment horizontal="center"/>
    </xf>
    <xf numFmtId="2" fontId="1" fillId="7" borderId="20" xfId="0" applyNumberFormat="1" applyFont="1" applyFill="1" applyBorder="1" applyAlignment="1" applyProtection="1">
      <alignment horizontal="center"/>
    </xf>
    <xf numFmtId="0" fontId="0" fillId="2" borderId="29" xfId="0" applyFill="1" applyBorder="1" applyAlignment="1" applyProtection="1">
      <alignment horizontal="center"/>
      <protection locked="0"/>
    </xf>
    <xf numFmtId="164" fontId="0" fillId="2" borderId="2" xfId="0" applyNumberFormat="1" applyFill="1" applyBorder="1" applyAlignment="1" applyProtection="1">
      <alignment horizontal="center"/>
    </xf>
    <xf numFmtId="0" fontId="3" fillId="2" borderId="87" xfId="0" applyFont="1" applyFill="1" applyBorder="1" applyProtection="1">
      <protection locked="0"/>
    </xf>
    <xf numFmtId="0" fontId="3" fillId="2" borderId="88" xfId="0" applyFont="1" applyFill="1" applyBorder="1" applyProtection="1">
      <protection locked="0"/>
    </xf>
    <xf numFmtId="0" fontId="3" fillId="2" borderId="88" xfId="0" applyFont="1" applyFill="1" applyBorder="1" applyAlignment="1" applyProtection="1">
      <alignment horizontal="center"/>
      <protection locked="0"/>
    </xf>
    <xf numFmtId="21" fontId="0" fillId="2" borderId="85" xfId="0" applyNumberFormat="1" applyFill="1" applyBorder="1" applyAlignment="1" applyProtection="1">
      <alignment horizontal="center"/>
    </xf>
    <xf numFmtId="164" fontId="0" fillId="2" borderId="24" xfId="0" applyNumberFormat="1" applyFill="1" applyBorder="1" applyAlignment="1" applyProtection="1">
      <alignment horizontal="center"/>
    </xf>
    <xf numFmtId="0" fontId="1" fillId="12" borderId="14" xfId="0" applyFont="1" applyFill="1" applyBorder="1" applyProtection="1"/>
    <xf numFmtId="0" fontId="1" fillId="12" borderId="89" xfId="0" applyFont="1" applyFill="1" applyBorder="1" applyProtection="1"/>
    <xf numFmtId="0" fontId="0" fillId="2" borderId="4" xfId="0" applyFill="1" applyBorder="1" applyProtection="1"/>
    <xf numFmtId="0" fontId="1" fillId="12" borderId="14" xfId="0" applyFont="1" applyFill="1" applyBorder="1" applyAlignment="1" applyProtection="1">
      <alignment horizontal="center"/>
    </xf>
    <xf numFmtId="0" fontId="1" fillId="12" borderId="22" xfId="0" applyFont="1" applyFill="1" applyBorder="1" applyAlignment="1" applyProtection="1">
      <alignment horizontal="center"/>
    </xf>
    <xf numFmtId="3" fontId="0" fillId="2" borderId="25" xfId="0" applyNumberFormat="1" applyFill="1" applyBorder="1" applyAlignment="1" applyProtection="1">
      <alignment horizontal="center"/>
      <protection locked="0"/>
    </xf>
    <xf numFmtId="0" fontId="15" fillId="0" borderId="0" xfId="0" applyFont="1" applyAlignment="1" applyProtection="1">
      <alignment horizontal="center" vertical="center" readingOrder="2"/>
    </xf>
    <xf numFmtId="0" fontId="16" fillId="0" borderId="0" xfId="0" applyFont="1" applyAlignment="1" applyProtection="1">
      <alignment horizontal="center" vertical="center" readingOrder="2"/>
      <protection locked="0"/>
    </xf>
    <xf numFmtId="0" fontId="17" fillId="0" borderId="0" xfId="0" applyFont="1"/>
    <xf numFmtId="0" fontId="12" fillId="0" borderId="42" xfId="0" applyFont="1" applyBorder="1" applyAlignment="1" applyProtection="1">
      <alignment horizontal="center" vertical="center" readingOrder="2"/>
    </xf>
    <xf numFmtId="0" fontId="12" fillId="0" borderId="43" xfId="0" applyFont="1" applyBorder="1" applyAlignment="1" applyProtection="1">
      <alignment horizontal="center" vertical="center" readingOrder="2"/>
    </xf>
    <xf numFmtId="0" fontId="18" fillId="0" borderId="44" xfId="0" applyFont="1" applyBorder="1" applyAlignment="1" applyProtection="1">
      <alignment horizontal="center" vertical="center" readingOrder="2"/>
    </xf>
    <xf numFmtId="0" fontId="19" fillId="0" borderId="0" xfId="0" applyFont="1" applyBorder="1" applyAlignment="1" applyProtection="1">
      <alignment horizontal="center" vertical="center" readingOrder="2"/>
    </xf>
    <xf numFmtId="0" fontId="19" fillId="0" borderId="0" xfId="0" applyFont="1" applyAlignment="1" applyProtection="1">
      <alignment horizontal="right" vertical="center" readingOrder="2"/>
    </xf>
    <xf numFmtId="0" fontId="19" fillId="0" borderId="0" xfId="0" applyFont="1" applyAlignment="1" applyProtection="1">
      <alignment horizontal="center" vertical="center" readingOrder="2"/>
    </xf>
    <xf numFmtId="0" fontId="15" fillId="0" borderId="45" xfId="0" applyFont="1" applyBorder="1" applyAlignment="1" applyProtection="1">
      <alignment horizontal="right" vertical="center" readingOrder="2"/>
      <protection locked="0"/>
    </xf>
    <xf numFmtId="0" fontId="15" fillId="0" borderId="46" xfId="0" applyFont="1" applyBorder="1" applyAlignment="1" applyProtection="1">
      <alignment horizontal="right" vertical="center" readingOrder="2"/>
      <protection locked="0"/>
    </xf>
    <xf numFmtId="49" fontId="15" fillId="0" borderId="46" xfId="0" applyNumberFormat="1" applyFont="1" applyBorder="1" applyAlignment="1" applyProtection="1">
      <alignment horizontal="center" vertical="center" readingOrder="2"/>
      <protection locked="0"/>
    </xf>
    <xf numFmtId="1" fontId="15" fillId="0" borderId="46" xfId="0" applyNumberFormat="1" applyFont="1" applyBorder="1" applyAlignment="1" applyProtection="1">
      <alignment horizontal="center" vertical="center" readingOrder="2"/>
      <protection locked="0"/>
    </xf>
    <xf numFmtId="166" fontId="20" fillId="15" borderId="46" xfId="2" applyNumberFormat="1" applyFont="1" applyFill="1" applyBorder="1" applyAlignment="1" applyProtection="1">
      <alignment horizontal="center" vertical="center"/>
    </xf>
    <xf numFmtId="49" fontId="21" fillId="0" borderId="46" xfId="0" applyNumberFormat="1" applyFont="1" applyBorder="1" applyAlignment="1" applyProtection="1">
      <alignment horizontal="center" vertical="center" readingOrder="2"/>
      <protection locked="0"/>
    </xf>
    <xf numFmtId="49" fontId="15" fillId="0" borderId="46" xfId="0" applyNumberFormat="1" applyFont="1" applyBorder="1" applyAlignment="1" applyProtection="1">
      <alignment horizontal="right" vertical="center" readingOrder="2"/>
      <protection locked="0"/>
    </xf>
    <xf numFmtId="49" fontId="15" fillId="0" borderId="47" xfId="0" applyNumberFormat="1" applyFont="1" applyBorder="1" applyAlignment="1" applyProtection="1">
      <alignment horizontal="center" vertical="center" readingOrder="2"/>
      <protection locked="0"/>
    </xf>
    <xf numFmtId="167" fontId="15" fillId="0" borderId="48" xfId="0" applyNumberFormat="1" applyFont="1" applyBorder="1" applyAlignment="1" applyProtection="1">
      <alignment horizontal="center" vertical="center" readingOrder="2"/>
    </xf>
    <xf numFmtId="0" fontId="12" fillId="0" borderId="49" xfId="0" applyFont="1" applyBorder="1" applyAlignment="1" applyProtection="1"/>
    <xf numFmtId="0" fontId="12" fillId="0" borderId="50" xfId="0" applyFont="1" applyBorder="1" applyAlignment="1" applyProtection="1">
      <alignment horizontal="center" vertical="center" readingOrder="2"/>
    </xf>
    <xf numFmtId="167" fontId="12" fillId="0" borderId="51" xfId="0" applyNumberFormat="1" applyFont="1" applyBorder="1" applyAlignment="1" applyProtection="1">
      <alignment horizontal="center" vertical="center" readingOrder="2"/>
      <protection locked="0"/>
    </xf>
    <xf numFmtId="0" fontId="15" fillId="0" borderId="52" xfId="0" applyFont="1" applyBorder="1" applyAlignment="1" applyProtection="1">
      <alignment horizontal="right" vertical="center" readingOrder="2"/>
      <protection locked="0"/>
    </xf>
    <xf numFmtId="49" fontId="15" fillId="0" borderId="52" xfId="0" applyNumberFormat="1" applyFont="1" applyBorder="1" applyAlignment="1" applyProtection="1">
      <alignment horizontal="center" vertical="center" readingOrder="2"/>
      <protection locked="0"/>
    </xf>
    <xf numFmtId="1" fontId="15" fillId="0" borderId="52" xfId="0" applyNumberFormat="1" applyFont="1" applyBorder="1" applyAlignment="1" applyProtection="1">
      <alignment horizontal="center" vertical="center" readingOrder="2"/>
      <protection locked="0"/>
    </xf>
    <xf numFmtId="166" fontId="20" fillId="15" borderId="52" xfId="2" applyNumberFormat="1" applyFont="1" applyFill="1" applyBorder="1" applyAlignment="1" applyProtection="1">
      <alignment horizontal="center" vertical="center"/>
    </xf>
    <xf numFmtId="49" fontId="21" fillId="0" borderId="53" xfId="0" applyNumberFormat="1" applyFont="1" applyBorder="1" applyAlignment="1" applyProtection="1">
      <alignment horizontal="center" vertical="center" readingOrder="2"/>
      <protection locked="0"/>
    </xf>
    <xf numFmtId="49" fontId="15" fillId="0" borderId="54" xfId="0" applyNumberFormat="1" applyFont="1" applyBorder="1" applyAlignment="1" applyProtection="1">
      <alignment horizontal="center" vertical="center" readingOrder="2"/>
      <protection locked="0"/>
    </xf>
    <xf numFmtId="167" fontId="15" fillId="0" borderId="55" xfId="0" applyNumberFormat="1" applyFont="1" applyBorder="1" applyAlignment="1" applyProtection="1">
      <alignment horizontal="center" vertical="center" readingOrder="2"/>
    </xf>
    <xf numFmtId="0" fontId="12" fillId="0" borderId="56" xfId="0" applyFont="1" applyBorder="1" applyAlignment="1" applyProtection="1"/>
    <xf numFmtId="0" fontId="12" fillId="0" borderId="0" xfId="0" applyFont="1" applyBorder="1" applyAlignment="1" applyProtection="1">
      <alignment horizontal="center" vertical="center" readingOrder="2"/>
    </xf>
    <xf numFmtId="167" fontId="12" fillId="0" borderId="57" xfId="0" applyNumberFormat="1" applyFont="1" applyBorder="1" applyAlignment="1" applyProtection="1">
      <alignment horizontal="center" vertical="center" readingOrder="2"/>
      <protection locked="0"/>
    </xf>
    <xf numFmtId="0" fontId="15" fillId="0" borderId="58" xfId="0" applyFont="1" applyBorder="1" applyAlignment="1" applyProtection="1">
      <alignment horizontal="right" vertical="center" readingOrder="2"/>
      <protection locked="0"/>
    </xf>
    <xf numFmtId="0" fontId="15" fillId="0" borderId="53" xfId="0" applyFont="1" applyBorder="1" applyAlignment="1" applyProtection="1">
      <alignment horizontal="right" vertical="center" readingOrder="2"/>
      <protection locked="0"/>
    </xf>
    <xf numFmtId="49" fontId="15" fillId="0" borderId="53" xfId="0" applyNumberFormat="1" applyFont="1" applyBorder="1" applyAlignment="1" applyProtection="1">
      <alignment horizontal="center" vertical="center" readingOrder="2"/>
      <protection locked="0"/>
    </xf>
    <xf numFmtId="1" fontId="15" fillId="0" borderId="53" xfId="0" applyNumberFormat="1" applyFont="1" applyBorder="1" applyAlignment="1" applyProtection="1">
      <alignment horizontal="center" vertical="center" readingOrder="2"/>
      <protection locked="0"/>
    </xf>
    <xf numFmtId="166" fontId="20" fillId="15" borderId="53" xfId="2" applyNumberFormat="1" applyFont="1" applyFill="1" applyBorder="1" applyAlignment="1" applyProtection="1">
      <alignment horizontal="center" vertical="center"/>
    </xf>
    <xf numFmtId="49" fontId="15" fillId="0" borderId="53" xfId="0" applyNumberFormat="1" applyFont="1" applyBorder="1" applyAlignment="1" applyProtection="1">
      <alignment horizontal="right" vertical="center" readingOrder="2"/>
      <protection locked="0"/>
    </xf>
    <xf numFmtId="49" fontId="15" fillId="0" borderId="59" xfId="0" applyNumberFormat="1" applyFont="1" applyBorder="1" applyAlignment="1" applyProtection="1">
      <alignment horizontal="center" vertical="center" readingOrder="2"/>
      <protection locked="0"/>
    </xf>
    <xf numFmtId="167" fontId="15" fillId="0" borderId="60" xfId="0" applyNumberFormat="1" applyFont="1" applyBorder="1" applyAlignment="1" applyProtection="1">
      <alignment horizontal="center" vertical="center" readingOrder="2"/>
    </xf>
    <xf numFmtId="0" fontId="15" fillId="0" borderId="0" xfId="0" applyFont="1" applyBorder="1" applyAlignment="1" applyProtection="1">
      <alignment horizontal="center" vertical="center" readingOrder="2"/>
    </xf>
    <xf numFmtId="1" fontId="12" fillId="0" borderId="0" xfId="0" applyNumberFormat="1" applyFont="1" applyBorder="1" applyAlignment="1" applyProtection="1">
      <alignment horizontal="center" vertical="center" readingOrder="2"/>
    </xf>
    <xf numFmtId="0" fontId="12" fillId="0" borderId="61" xfId="0" applyFont="1" applyBorder="1" applyAlignment="1" applyProtection="1"/>
    <xf numFmtId="0" fontId="12" fillId="0" borderId="62" xfId="0" applyFont="1" applyBorder="1" applyAlignment="1" applyProtection="1">
      <alignment horizontal="center" vertical="center" readingOrder="2"/>
    </xf>
    <xf numFmtId="167" fontId="12" fillId="0" borderId="63" xfId="0" applyNumberFormat="1" applyFont="1" applyBorder="1" applyAlignment="1" applyProtection="1">
      <alignment horizontal="center" vertical="center" readingOrder="2"/>
      <protection locked="0"/>
    </xf>
    <xf numFmtId="2" fontId="15" fillId="0" borderId="0" xfId="0" applyNumberFormat="1" applyFont="1" applyAlignment="1" applyProtection="1">
      <alignment horizontal="center" vertical="center" readingOrder="2"/>
    </xf>
    <xf numFmtId="0" fontId="15" fillId="0" borderId="64" xfId="0" applyFont="1" applyBorder="1" applyAlignment="1" applyProtection="1">
      <alignment horizontal="center" vertical="center" readingOrder="2"/>
    </xf>
    <xf numFmtId="0" fontId="12" fillId="0" borderId="65" xfId="0" applyFont="1" applyBorder="1" applyAlignment="1" applyProtection="1">
      <alignment horizontal="center" vertical="center" readingOrder="2"/>
    </xf>
    <xf numFmtId="1" fontId="12" fillId="0" borderId="43" xfId="0" applyNumberFormat="1" applyFont="1" applyBorder="1" applyAlignment="1" applyProtection="1">
      <alignment horizontal="center" vertical="center" readingOrder="2"/>
    </xf>
    <xf numFmtId="166" fontId="22" fillId="15" borderId="43" xfId="2" applyNumberFormat="1" applyFont="1" applyFill="1" applyBorder="1" applyAlignment="1" applyProtection="1">
      <alignment horizontal="center" vertical="center"/>
    </xf>
    <xf numFmtId="0" fontId="12" fillId="0" borderId="66" xfId="0" applyFont="1" applyBorder="1" applyAlignment="1" applyProtection="1">
      <alignment horizontal="right" vertical="center" readingOrder="2"/>
    </xf>
    <xf numFmtId="167" fontId="12" fillId="0" borderId="67" xfId="0" applyNumberFormat="1" applyFont="1" applyBorder="1" applyAlignment="1" applyProtection="1">
      <alignment horizontal="center" vertical="center" readingOrder="2"/>
    </xf>
    <xf numFmtId="0" fontId="12" fillId="0" borderId="56" xfId="0" applyFont="1" applyBorder="1" applyAlignment="1" applyProtection="1">
      <alignment horizontal="right" vertical="center" readingOrder="2"/>
    </xf>
    <xf numFmtId="167" fontId="12" fillId="0" borderId="68" xfId="0" applyNumberFormat="1" applyFont="1" applyBorder="1" applyAlignment="1" applyProtection="1">
      <alignment horizontal="center" vertical="center" readingOrder="2"/>
      <protection locked="0"/>
    </xf>
    <xf numFmtId="0" fontId="12" fillId="0" borderId="64" xfId="0" applyFont="1" applyBorder="1" applyAlignment="1" applyProtection="1">
      <alignment horizontal="center" vertical="center" readingOrder="2"/>
    </xf>
    <xf numFmtId="0" fontId="21" fillId="0" borderId="0" xfId="0" applyFont="1" applyBorder="1" applyAlignment="1" applyProtection="1">
      <alignment horizontal="center" vertical="center" readingOrder="2"/>
    </xf>
    <xf numFmtId="0" fontId="15" fillId="0" borderId="69" xfId="0" applyFont="1" applyBorder="1" applyAlignment="1" applyProtection="1">
      <alignment horizontal="right" vertical="center" readingOrder="2"/>
      <protection locked="0"/>
    </xf>
    <xf numFmtId="168" fontId="15" fillId="0" borderId="52" xfId="0" applyNumberFormat="1" applyFont="1" applyBorder="1" applyAlignment="1" applyProtection="1">
      <alignment horizontal="center" vertical="center" readingOrder="2"/>
      <protection locked="0"/>
    </xf>
    <xf numFmtId="49" fontId="15" fillId="0" borderId="70" xfId="0" applyNumberFormat="1" applyFont="1" applyBorder="1" applyAlignment="1" applyProtection="1">
      <alignment horizontal="center" vertical="center" readingOrder="2"/>
      <protection locked="0"/>
    </xf>
    <xf numFmtId="167" fontId="15" fillId="0" borderId="71" xfId="0" applyNumberFormat="1" applyFont="1" applyBorder="1" applyAlignment="1" applyProtection="1">
      <alignment horizontal="center" vertical="center" readingOrder="2"/>
    </xf>
    <xf numFmtId="49" fontId="15" fillId="0" borderId="72" xfId="0" applyNumberFormat="1" applyFont="1" applyBorder="1" applyAlignment="1" applyProtection="1">
      <alignment horizontal="center" vertical="center" readingOrder="2"/>
      <protection locked="0"/>
    </xf>
    <xf numFmtId="49" fontId="15" fillId="0" borderId="73" xfId="0" applyNumberFormat="1" applyFont="1" applyBorder="1" applyAlignment="1" applyProtection="1">
      <alignment horizontal="center" vertical="center" readingOrder="2"/>
      <protection locked="0"/>
    </xf>
    <xf numFmtId="168" fontId="15" fillId="0" borderId="53" xfId="0" applyNumberFormat="1" applyFont="1" applyBorder="1" applyAlignment="1" applyProtection="1">
      <alignment horizontal="center" vertical="center" readingOrder="2"/>
      <protection locked="0"/>
    </xf>
    <xf numFmtId="167" fontId="15" fillId="0" borderId="72" xfId="0" applyNumberFormat="1" applyFont="1" applyBorder="1" applyAlignment="1" applyProtection="1">
      <alignment horizontal="center" vertical="center" readingOrder="2"/>
    </xf>
    <xf numFmtId="0" fontId="15" fillId="0" borderId="66" xfId="0" applyFont="1" applyBorder="1" applyAlignment="1" applyProtection="1">
      <alignment horizontal="center" vertical="center" readingOrder="2"/>
    </xf>
    <xf numFmtId="167" fontId="12" fillId="0" borderId="68" xfId="0" applyNumberFormat="1" applyFont="1" applyBorder="1" applyAlignment="1" applyProtection="1">
      <alignment horizontal="center" vertical="center" readingOrder="2"/>
    </xf>
    <xf numFmtId="49" fontId="21" fillId="0" borderId="74" xfId="0" applyNumberFormat="1" applyFont="1" applyBorder="1" applyAlignment="1" applyProtection="1">
      <alignment horizontal="center" vertical="center" readingOrder="2"/>
      <protection locked="0"/>
    </xf>
    <xf numFmtId="0" fontId="23" fillId="0" borderId="0" xfId="0" applyFont="1" applyAlignment="1" applyProtection="1">
      <alignment horizontal="center" vertical="center" readingOrder="2"/>
    </xf>
    <xf numFmtId="0" fontId="12" fillId="0" borderId="45" xfId="0" applyFont="1" applyBorder="1" applyAlignment="1" applyProtection="1">
      <alignment horizontal="center" vertical="center" readingOrder="2"/>
    </xf>
    <xf numFmtId="0" fontId="12" fillId="0" borderId="46" xfId="0" applyFont="1" applyBorder="1" applyAlignment="1" applyProtection="1">
      <alignment horizontal="center" vertical="center" readingOrder="2"/>
    </xf>
    <xf numFmtId="0" fontId="12" fillId="0" borderId="70" xfId="0" applyFont="1" applyBorder="1" applyAlignment="1" applyProtection="1">
      <alignment horizontal="center" vertical="center" readingOrder="2"/>
    </xf>
    <xf numFmtId="0" fontId="12" fillId="16" borderId="0" xfId="0" applyFont="1" applyFill="1" applyAlignment="1" applyProtection="1">
      <alignment horizontal="center" vertical="center" readingOrder="2"/>
    </xf>
    <xf numFmtId="1" fontId="12" fillId="16" borderId="75" xfId="0" applyNumberFormat="1" applyFont="1" applyFill="1" applyBorder="1" applyAlignment="1" applyProtection="1">
      <alignment horizontal="center" vertical="center" readingOrder="2"/>
    </xf>
    <xf numFmtId="167" fontId="12" fillId="16" borderId="76" xfId="0" applyNumberFormat="1" applyFont="1" applyFill="1" applyBorder="1" applyAlignment="1" applyProtection="1">
      <alignment horizontal="center" vertical="center" readingOrder="2"/>
    </xf>
    <xf numFmtId="167" fontId="12" fillId="16" borderId="77" xfId="0" applyNumberFormat="1" applyFont="1" applyFill="1" applyBorder="1" applyAlignment="1" applyProtection="1">
      <alignment horizontal="center" vertical="center" readingOrder="2"/>
    </xf>
    <xf numFmtId="0" fontId="15" fillId="0" borderId="0" xfId="0" applyFont="1" applyAlignment="1" applyProtection="1">
      <alignment horizontal="right" vertical="center" readingOrder="2"/>
    </xf>
    <xf numFmtId="49" fontId="15" fillId="0" borderId="52" xfId="0" applyNumberFormat="1" applyFont="1" applyBorder="1" applyAlignment="1" applyProtection="1">
      <alignment horizontal="right" vertical="center" readingOrder="2"/>
      <protection locked="0"/>
    </xf>
    <xf numFmtId="0" fontId="12" fillId="0" borderId="45" xfId="0" applyFont="1" applyBorder="1" applyAlignment="1" applyProtection="1">
      <alignment horizontal="right" vertical="center" readingOrder="2"/>
      <protection locked="0"/>
    </xf>
    <xf numFmtId="0" fontId="12" fillId="0" borderId="46" xfId="0" applyFont="1" applyBorder="1" applyAlignment="1" applyProtection="1">
      <alignment horizontal="right" vertical="center" readingOrder="2"/>
      <protection locked="0"/>
    </xf>
    <xf numFmtId="164" fontId="15" fillId="0" borderId="46" xfId="0" applyNumberFormat="1" applyFont="1" applyBorder="1" applyAlignment="1" applyProtection="1">
      <alignment horizontal="center" vertical="center" readingOrder="2"/>
      <protection locked="0"/>
    </xf>
    <xf numFmtId="0" fontId="12" fillId="0" borderId="58" xfId="0" applyFont="1" applyBorder="1" applyAlignment="1" applyProtection="1">
      <alignment horizontal="right" vertical="center" readingOrder="2"/>
      <protection locked="0"/>
    </xf>
    <xf numFmtId="0" fontId="12" fillId="0" borderId="53" xfId="0" applyFont="1" applyBorder="1" applyAlignment="1" applyProtection="1">
      <alignment horizontal="right" vertical="center" readingOrder="2"/>
      <protection locked="0"/>
    </xf>
    <xf numFmtId="164" fontId="15" fillId="0" borderId="53" xfId="0" applyNumberFormat="1" applyFont="1" applyBorder="1" applyAlignment="1" applyProtection="1">
      <alignment horizontal="center" vertical="center" readingOrder="2"/>
      <protection locked="0"/>
    </xf>
    <xf numFmtId="164" fontId="12" fillId="0" borderId="43" xfId="0" applyNumberFormat="1" applyFont="1" applyBorder="1" applyAlignment="1" applyProtection="1">
      <alignment horizontal="center" vertical="center" readingOrder="2"/>
    </xf>
    <xf numFmtId="0" fontId="12" fillId="0" borderId="0" xfId="0" applyFont="1" applyAlignment="1" applyProtection="1">
      <alignment horizontal="center" vertical="center" readingOrder="2"/>
    </xf>
    <xf numFmtId="0" fontId="24" fillId="0" borderId="0" xfId="0" applyFont="1" applyAlignment="1">
      <alignment horizontal="center"/>
    </xf>
    <xf numFmtId="167" fontId="12" fillId="0" borderId="0" xfId="0" applyNumberFormat="1" applyFont="1" applyBorder="1" applyAlignment="1" applyProtection="1">
      <alignment horizontal="center" vertical="center" readingOrder="2"/>
    </xf>
    <xf numFmtId="0" fontId="12" fillId="0" borderId="69" xfId="0" applyFont="1" applyBorder="1" applyAlignment="1" applyProtection="1">
      <alignment horizontal="right" vertical="center" readingOrder="2"/>
      <protection locked="0"/>
    </xf>
    <xf numFmtId="0" fontId="12" fillId="0" borderId="52" xfId="0" applyFont="1" applyBorder="1" applyAlignment="1" applyProtection="1">
      <alignment horizontal="right" vertical="center" readingOrder="2"/>
      <protection locked="0"/>
    </xf>
    <xf numFmtId="164" fontId="12" fillId="16" borderId="75" xfId="0" applyNumberFormat="1" applyFont="1" applyFill="1" applyBorder="1" applyAlignment="1" applyProtection="1">
      <alignment horizontal="center" vertical="center" readingOrder="2"/>
    </xf>
    <xf numFmtId="49" fontId="15" fillId="0" borderId="25" xfId="0" applyNumberFormat="1" applyFont="1" applyBorder="1" applyAlignment="1" applyProtection="1">
      <alignment horizontal="right" vertical="center" readingOrder="2"/>
      <protection locked="0"/>
    </xf>
    <xf numFmtId="49" fontId="15" fillId="0" borderId="25" xfId="0" applyNumberFormat="1" applyFont="1" applyBorder="1" applyAlignment="1" applyProtection="1">
      <alignment horizontal="center" vertical="center" readingOrder="2"/>
      <protection locked="0"/>
    </xf>
    <xf numFmtId="0" fontId="15" fillId="0" borderId="25" xfId="0" applyFont="1" applyBorder="1" applyAlignment="1" applyProtection="1">
      <alignment horizontal="right" vertical="center" readingOrder="2"/>
      <protection locked="0"/>
    </xf>
    <xf numFmtId="1" fontId="15" fillId="0" borderId="25" xfId="0" applyNumberFormat="1" applyFont="1" applyBorder="1" applyAlignment="1" applyProtection="1">
      <alignment horizontal="center" vertical="center" readingOrder="2"/>
      <protection locked="0"/>
    </xf>
    <xf numFmtId="0" fontId="1" fillId="0" borderId="0" xfId="0" applyFont="1"/>
    <xf numFmtId="0" fontId="1" fillId="12" borderId="89" xfId="0" applyFont="1" applyFill="1" applyBorder="1" applyAlignment="1" applyProtection="1">
      <alignment horizontal="center"/>
    </xf>
    <xf numFmtId="0" fontId="0" fillId="2" borderId="91" xfId="0" applyFill="1" applyBorder="1" applyAlignment="1" applyProtection="1">
      <alignment horizontal="center"/>
      <protection locked="0"/>
    </xf>
    <xf numFmtId="0" fontId="0" fillId="2" borderId="31" xfId="0" applyFill="1" applyBorder="1" applyProtection="1"/>
    <xf numFmtId="0" fontId="1" fillId="12" borderId="94" xfId="0" applyFont="1" applyFill="1" applyBorder="1" applyAlignment="1" applyProtection="1">
      <alignment horizontal="right"/>
    </xf>
    <xf numFmtId="0" fontId="0" fillId="2" borderId="91" xfId="0" applyFill="1" applyBorder="1" applyProtection="1">
      <protection locked="0"/>
    </xf>
    <xf numFmtId="0" fontId="1" fillId="12" borderId="35" xfId="0" applyFont="1" applyFill="1" applyBorder="1"/>
    <xf numFmtId="0" fontId="1" fillId="12" borderId="26" xfId="0" applyFont="1" applyFill="1" applyBorder="1"/>
    <xf numFmtId="0" fontId="1" fillId="12" borderId="31" xfId="0" applyFont="1" applyFill="1" applyBorder="1"/>
    <xf numFmtId="0" fontId="0" fillId="13" borderId="17" xfId="0" applyFill="1" applyBorder="1" applyAlignment="1" applyProtection="1">
      <alignment horizontal="center"/>
    </xf>
    <xf numFmtId="0" fontId="0" fillId="2" borderId="0" xfId="0" applyFill="1" applyBorder="1" applyAlignment="1" applyProtection="1"/>
    <xf numFmtId="0" fontId="1" fillId="0" borderId="37" xfId="0" applyFont="1" applyFill="1" applyBorder="1" applyAlignment="1">
      <alignment horizontal="center"/>
    </xf>
    <xf numFmtId="0" fontId="1" fillId="0" borderId="38" xfId="0" applyFont="1" applyFill="1" applyBorder="1" applyAlignment="1">
      <alignment horizontal="center"/>
    </xf>
    <xf numFmtId="0" fontId="1" fillId="0" borderId="39" xfId="0" applyFont="1" applyFill="1" applyBorder="1" applyAlignment="1">
      <alignment horizontal="center"/>
    </xf>
    <xf numFmtId="0" fontId="0" fillId="12" borderId="12" xfId="0" applyFill="1" applyBorder="1"/>
    <xf numFmtId="0" fontId="0" fillId="12" borderId="30" xfId="0" applyFill="1" applyBorder="1"/>
    <xf numFmtId="0" fontId="1" fillId="12" borderId="95" xfId="0" applyFont="1" applyFill="1" applyBorder="1" applyAlignment="1">
      <alignment horizontal="center"/>
    </xf>
    <xf numFmtId="0" fontId="1" fillId="12" borderId="96" xfId="0" applyFont="1" applyFill="1" applyBorder="1" applyAlignment="1">
      <alignment horizontal="center"/>
    </xf>
    <xf numFmtId="0" fontId="1" fillId="12" borderId="97" xfId="0" applyFont="1" applyFill="1" applyBorder="1" applyAlignment="1">
      <alignment horizontal="center"/>
    </xf>
    <xf numFmtId="0" fontId="0" fillId="2" borderId="8" xfId="0" applyFill="1" applyBorder="1" applyProtection="1">
      <protection hidden="1"/>
    </xf>
    <xf numFmtId="0" fontId="1" fillId="6" borderId="26" xfId="0" applyFont="1" applyFill="1" applyBorder="1" applyProtection="1"/>
    <xf numFmtId="0" fontId="1" fillId="18" borderId="26" xfId="0" applyFont="1" applyFill="1" applyBorder="1" applyProtection="1"/>
    <xf numFmtId="1" fontId="0" fillId="2" borderId="0" xfId="0" applyNumberFormat="1" applyFill="1" applyBorder="1" applyProtection="1"/>
    <xf numFmtId="0" fontId="1" fillId="0" borderId="37" xfId="0" applyFont="1" applyFill="1" applyBorder="1" applyAlignment="1">
      <alignment horizontal="center"/>
    </xf>
    <xf numFmtId="0" fontId="1" fillId="0" borderId="38" xfId="0" applyFont="1" applyFill="1" applyBorder="1" applyAlignment="1">
      <alignment horizontal="center"/>
    </xf>
    <xf numFmtId="0" fontId="1" fillId="0" borderId="39" xfId="0" applyFont="1" applyFill="1" applyBorder="1" applyAlignment="1">
      <alignment horizontal="center"/>
    </xf>
    <xf numFmtId="0" fontId="0" fillId="12" borderId="35" xfId="0" applyFill="1" applyBorder="1" applyAlignment="1"/>
    <xf numFmtId="0" fontId="0" fillId="12" borderId="36" xfId="0" applyFill="1" applyBorder="1" applyAlignment="1"/>
    <xf numFmtId="0" fontId="0" fillId="12" borderId="26" xfId="0" applyFill="1" applyBorder="1" applyAlignment="1"/>
    <xf numFmtId="0" fontId="0" fillId="12" borderId="23" xfId="0" applyFill="1" applyBorder="1" applyAlignment="1"/>
    <xf numFmtId="0" fontId="1" fillId="12" borderId="4" xfId="0" applyFont="1" applyFill="1" applyBorder="1" applyAlignment="1">
      <alignment horizontal="center"/>
    </xf>
    <xf numFmtId="0" fontId="1" fillId="12" borderId="5" xfId="0" applyFont="1" applyFill="1" applyBorder="1" applyAlignment="1">
      <alignment horizontal="center"/>
    </xf>
    <xf numFmtId="0" fontId="1" fillId="12" borderId="6" xfId="0" applyFont="1" applyFill="1" applyBorder="1" applyAlignment="1">
      <alignment horizontal="center"/>
    </xf>
    <xf numFmtId="0" fontId="0" fillId="2" borderId="92" xfId="0" applyFill="1" applyBorder="1" applyAlignment="1" applyProtection="1">
      <alignment horizontal="center"/>
      <protection locked="0"/>
    </xf>
    <xf numFmtId="0" fontId="0" fillId="2" borderId="93" xfId="0" applyFill="1" applyBorder="1" applyAlignment="1" applyProtection="1">
      <alignment horizontal="center"/>
      <protection locked="0"/>
    </xf>
    <xf numFmtId="20" fontId="0" fillId="2" borderId="92" xfId="0" applyNumberFormat="1" applyFill="1" applyBorder="1" applyAlignment="1" applyProtection="1">
      <alignment horizontal="center"/>
      <protection locked="0"/>
    </xf>
    <xf numFmtId="0" fontId="7" fillId="2" borderId="7" xfId="0" applyFont="1" applyFill="1" applyBorder="1" applyAlignment="1" applyProtection="1">
      <alignment horizontal="left" vertical="justify"/>
    </xf>
    <xf numFmtId="0" fontId="14" fillId="0" borderId="0" xfId="0" applyFont="1" applyBorder="1" applyAlignment="1">
      <alignment horizontal="left" vertical="justify"/>
    </xf>
    <xf numFmtId="0" fontId="14" fillId="0" borderId="0" xfId="0" applyFont="1" applyBorder="1" applyAlignment="1"/>
    <xf numFmtId="0" fontId="14" fillId="0" borderId="8" xfId="0" applyFont="1" applyBorder="1" applyAlignment="1"/>
    <xf numFmtId="0" fontId="14" fillId="0" borderId="7" xfId="0" applyFont="1" applyBorder="1" applyAlignment="1">
      <alignment horizontal="left" vertical="justify"/>
    </xf>
    <xf numFmtId="0" fontId="14" fillId="0" borderId="9" xfId="0" applyFont="1" applyBorder="1" applyAlignment="1"/>
    <xf numFmtId="0" fontId="14" fillId="0" borderId="10" xfId="0" applyFont="1" applyBorder="1" applyAlignment="1"/>
    <xf numFmtId="0" fontId="14" fillId="0" borderId="11" xfId="0" applyFont="1" applyBorder="1" applyAlignment="1"/>
    <xf numFmtId="0" fontId="7" fillId="2" borderId="4" xfId="0" applyFont="1" applyFill="1" applyBorder="1" applyAlignment="1" applyProtection="1">
      <alignment horizontal="left" vertical="justify"/>
    </xf>
    <xf numFmtId="0" fontId="0" fillId="0" borderId="5" xfId="0" applyBorder="1" applyAlignment="1"/>
    <xf numFmtId="0" fontId="0" fillId="0" borderId="6" xfId="0" applyBorder="1" applyAlignment="1"/>
    <xf numFmtId="0" fontId="0" fillId="0" borderId="7" xfId="0" applyBorder="1" applyAlignment="1"/>
    <xf numFmtId="0" fontId="0" fillId="0" borderId="0" xfId="0" applyBorder="1" applyAlignment="1"/>
    <xf numFmtId="0" fontId="0" fillId="0" borderId="8" xfId="0" applyBorder="1" applyAlignment="1"/>
    <xf numFmtId="0" fontId="0" fillId="7" borderId="19" xfId="0" applyFill="1" applyBorder="1" applyAlignment="1" applyProtection="1"/>
    <xf numFmtId="0" fontId="0" fillId="0" borderId="82" xfId="0" applyBorder="1" applyAlignment="1"/>
    <xf numFmtId="0" fontId="0" fillId="7" borderId="17" xfId="0" applyFill="1" applyBorder="1" applyAlignment="1" applyProtection="1"/>
    <xf numFmtId="0" fontId="0" fillId="0" borderId="1" xfId="0" applyBorder="1" applyAlignment="1"/>
    <xf numFmtId="0" fontId="0" fillId="2" borderId="35" xfId="0" applyFill="1" applyBorder="1" applyAlignment="1" applyProtection="1"/>
    <xf numFmtId="0" fontId="0" fillId="2" borderId="84" xfId="0" applyFill="1" applyBorder="1" applyAlignment="1" applyProtection="1"/>
    <xf numFmtId="0" fontId="0" fillId="2" borderId="90" xfId="0" applyFill="1" applyBorder="1" applyAlignment="1" applyProtection="1"/>
    <xf numFmtId="0" fontId="0" fillId="2" borderId="26" xfId="0" applyFill="1" applyBorder="1" applyAlignment="1" applyProtection="1"/>
    <xf numFmtId="0" fontId="0" fillId="2" borderId="83" xfId="0" applyFill="1" applyBorder="1" applyAlignment="1" applyProtection="1"/>
    <xf numFmtId="0" fontId="0" fillId="2" borderId="31" xfId="0" applyFill="1" applyBorder="1" applyAlignment="1" applyProtection="1"/>
    <xf numFmtId="0" fontId="0" fillId="2" borderId="86" xfId="0" applyFill="1" applyBorder="1" applyAlignment="1" applyProtection="1"/>
    <xf numFmtId="0" fontId="1" fillId="12" borderId="4" xfId="0" applyFont="1" applyFill="1" applyBorder="1" applyAlignment="1" applyProtection="1">
      <alignment horizontal="center"/>
    </xf>
    <xf numFmtId="0" fontId="1" fillId="12" borderId="5" xfId="0" applyFont="1" applyFill="1" applyBorder="1" applyAlignment="1" applyProtection="1">
      <alignment horizontal="center"/>
    </xf>
    <xf numFmtId="0" fontId="1" fillId="12" borderId="6" xfId="0" applyFont="1" applyFill="1" applyBorder="1" applyAlignment="1" applyProtection="1">
      <alignment horizontal="center"/>
    </xf>
    <xf numFmtId="0" fontId="1" fillId="12" borderId="78" xfId="0" applyFont="1" applyFill="1" applyBorder="1" applyAlignment="1" applyProtection="1">
      <alignment horizontal="center"/>
    </xf>
    <xf numFmtId="0" fontId="0" fillId="0" borderId="79" xfId="0" applyBorder="1" applyAlignment="1">
      <alignment horizontal="center"/>
    </xf>
    <xf numFmtId="0" fontId="0" fillId="0" borderId="79" xfId="0" applyBorder="1" applyAlignment="1"/>
    <xf numFmtId="0" fontId="0" fillId="0" borderId="80" xfId="0" applyBorder="1" applyAlignment="1"/>
    <xf numFmtId="0" fontId="0" fillId="6" borderId="81" xfId="0" applyFill="1" applyBorder="1" applyAlignment="1" applyProtection="1"/>
    <xf numFmtId="0" fontId="0" fillId="0" borderId="13" xfId="0" applyBorder="1" applyAlignment="1"/>
    <xf numFmtId="0" fontId="0" fillId="5" borderId="17" xfId="0" applyFill="1" applyBorder="1" applyAlignment="1" applyProtection="1"/>
    <xf numFmtId="0" fontId="1" fillId="12" borderId="22" xfId="0" applyFont="1" applyFill="1" applyBorder="1" applyAlignment="1" applyProtection="1">
      <alignment horizontal="center"/>
    </xf>
    <xf numFmtId="0" fontId="1" fillId="12" borderId="89" xfId="0" applyFont="1" applyFill="1" applyBorder="1" applyAlignment="1" applyProtection="1">
      <alignment horizontal="center"/>
    </xf>
    <xf numFmtId="0" fontId="1" fillId="12" borderId="12" xfId="0" applyFont="1" applyFill="1" applyBorder="1" applyAlignment="1" applyProtection="1">
      <alignment horizontal="center"/>
    </xf>
    <xf numFmtId="0" fontId="1" fillId="12" borderId="30" xfId="0" applyFont="1" applyFill="1" applyBorder="1" applyAlignment="1" applyProtection="1">
      <alignment horizontal="center"/>
    </xf>
    <xf numFmtId="0" fontId="1" fillId="12" borderId="14" xfId="0" applyFont="1" applyFill="1" applyBorder="1" applyAlignment="1" applyProtection="1">
      <alignment horizontal="center"/>
    </xf>
    <xf numFmtId="0" fontId="1" fillId="12" borderId="15" xfId="0" applyFont="1" applyFill="1" applyBorder="1" applyAlignment="1" applyProtection="1">
      <alignment horizontal="center"/>
    </xf>
    <xf numFmtId="0" fontId="1" fillId="12" borderId="16" xfId="0" applyFont="1" applyFill="1" applyBorder="1" applyAlignment="1" applyProtection="1">
      <alignment horizontal="center"/>
    </xf>
    <xf numFmtId="166" fontId="22" fillId="16" borderId="76" xfId="2" applyNumberFormat="1" applyFont="1" applyFill="1" applyBorder="1" applyAlignment="1" applyProtection="1">
      <alignment horizontal="center" vertical="center"/>
    </xf>
    <xf numFmtId="0" fontId="17" fillId="0" borderId="76" xfId="0" applyFont="1" applyBorder="1" applyAlignment="1">
      <alignment horizontal="center" vertical="center"/>
    </xf>
    <xf numFmtId="0" fontId="12" fillId="0" borderId="46" xfId="0" applyFont="1" applyBorder="1" applyAlignment="1" applyProtection="1">
      <alignment horizontal="center" vertical="center" readingOrder="2"/>
    </xf>
    <xf numFmtId="0" fontId="17" fillId="0" borderId="46" xfId="0" applyFont="1" applyBorder="1" applyAlignment="1">
      <alignment horizontal="center" vertical="center" readingOrder="2"/>
    </xf>
    <xf numFmtId="0" fontId="0" fillId="13" borderId="17" xfId="0" applyFill="1" applyBorder="1" applyAlignment="1" applyProtection="1">
      <alignment horizontal="center"/>
    </xf>
    <xf numFmtId="0" fontId="0" fillId="13" borderId="1" xfId="0" applyFill="1" applyBorder="1" applyAlignment="1" applyProtection="1">
      <alignment horizontal="center"/>
    </xf>
    <xf numFmtId="0" fontId="0" fillId="2" borderId="40" xfId="0" applyFill="1" applyBorder="1" applyAlignment="1" applyProtection="1">
      <alignment horizontal="center"/>
    </xf>
    <xf numFmtId="0" fontId="0" fillId="2" borderId="0" xfId="0" applyFill="1" applyBorder="1" applyAlignment="1" applyProtection="1">
      <alignment horizontal="center"/>
    </xf>
    <xf numFmtId="0" fontId="0" fillId="0" borderId="0" xfId="0" applyBorder="1" applyAlignment="1">
      <alignment horizontal="center"/>
    </xf>
    <xf numFmtId="0" fontId="26" fillId="2" borderId="0" xfId="3" applyFont="1" applyFill="1" applyBorder="1" applyAlignment="1" applyProtection="1">
      <alignment horizontal="center"/>
    </xf>
    <xf numFmtId="0" fontId="1" fillId="2" borderId="0" xfId="0" applyFont="1" applyFill="1" applyAlignment="1">
      <alignment horizontal="center"/>
    </xf>
    <xf numFmtId="0" fontId="0" fillId="2" borderId="0" xfId="0" applyFill="1" applyBorder="1" applyAlignment="1" applyProtection="1"/>
    <xf numFmtId="0" fontId="0" fillId="0" borderId="0" xfId="0" applyAlignment="1"/>
    <xf numFmtId="0" fontId="0" fillId="13" borderId="26" xfId="0" applyFill="1" applyBorder="1" applyAlignment="1" applyProtection="1">
      <alignment horizontal="center"/>
    </xf>
    <xf numFmtId="0" fontId="0" fillId="13" borderId="3" xfId="0" applyFill="1" applyBorder="1" applyAlignment="1" applyProtection="1">
      <alignment horizontal="center"/>
    </xf>
    <xf numFmtId="0" fontId="0" fillId="0" borderId="0" xfId="0" applyBorder="1" applyAlignment="1" applyProtection="1">
      <alignment horizontal="center"/>
    </xf>
  </cellXfs>
  <cellStyles count="4">
    <cellStyle name="Currency" xfId="2" builtinId="4"/>
    <cellStyle name="Normal" xfId="0" builtinId="0"/>
    <cellStyle name="טקסט אזהרה" xfId="1" builtinId="11"/>
    <cellStyle name="רע" xfId="3" builtinId="27"/>
  </cellStyles>
  <dxfs count="2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7.9881726241123024E-2"/>
          <c:y val="7.7343854030824818E-2"/>
          <c:w val="0.89812625776958566"/>
          <c:h val="0.84522409979651425"/>
        </c:manualLayout>
      </c:layout>
      <c:scatterChart>
        <c:scatterStyle val="lineMarker"/>
        <c:varyColors val="0"/>
        <c:ser>
          <c:idx val="0"/>
          <c:order val="0"/>
          <c:tx>
            <c:v>CG FRAME</c:v>
          </c:tx>
          <c:xVal>
            <c:numRef>
              <c:f>'נתוני מטוסים'!$E$4:$E$8</c:f>
              <c:numCache>
                <c:formatCode>General</c:formatCode>
                <c:ptCount val="5"/>
                <c:pt idx="0">
                  <c:v>35</c:v>
                </c:pt>
                <c:pt idx="1">
                  <c:v>35</c:v>
                </c:pt>
                <c:pt idx="2">
                  <c:v>39.6</c:v>
                </c:pt>
                <c:pt idx="3">
                  <c:v>47.3</c:v>
                </c:pt>
                <c:pt idx="4">
                  <c:v>47.3</c:v>
                </c:pt>
              </c:numCache>
            </c:numRef>
          </c:xVal>
          <c:yVal>
            <c:numRef>
              <c:f>'נתוני מטוסים'!$D$4:$D$8</c:f>
              <c:numCache>
                <c:formatCode>General</c:formatCode>
                <c:ptCount val="5"/>
                <c:pt idx="0">
                  <c:v>1500</c:v>
                </c:pt>
                <c:pt idx="1">
                  <c:v>1960</c:v>
                </c:pt>
                <c:pt idx="2">
                  <c:v>2400</c:v>
                </c:pt>
                <c:pt idx="3">
                  <c:v>2400</c:v>
                </c:pt>
                <c:pt idx="4">
                  <c:v>1500</c:v>
                </c:pt>
              </c:numCache>
            </c:numRef>
          </c:yVal>
          <c:smooth val="0"/>
          <c:extLst xmlns:c16r2="http://schemas.microsoft.com/office/drawing/2015/06/chart">
            <c:ext xmlns:c16="http://schemas.microsoft.com/office/drawing/2014/chart" uri="{C3380CC4-5D6E-409C-BE32-E72D297353CC}">
              <c16:uniqueId val="{00000000-53FE-4CAE-AF76-8C21AE515602}"/>
            </c:ext>
          </c:extLst>
        </c:ser>
        <c:ser>
          <c:idx val="1"/>
          <c:order val="1"/>
          <c:tx>
            <c:v>UTILITY CAT</c:v>
          </c:tx>
          <c:xVal>
            <c:numRef>
              <c:f>'נתוני מטוסים'!$E$12:$E$14</c:f>
              <c:numCache>
                <c:formatCode>General</c:formatCode>
                <c:ptCount val="3"/>
                <c:pt idx="0">
                  <c:v>36.5</c:v>
                </c:pt>
                <c:pt idx="1">
                  <c:v>40.5</c:v>
                </c:pt>
                <c:pt idx="2">
                  <c:v>40.5</c:v>
                </c:pt>
              </c:numCache>
            </c:numRef>
          </c:xVal>
          <c:yVal>
            <c:numRef>
              <c:f>'נתוני מטוסים'!$D$12:$D$14</c:f>
              <c:numCache>
                <c:formatCode>General</c:formatCode>
                <c:ptCount val="3"/>
                <c:pt idx="0">
                  <c:v>2100</c:v>
                </c:pt>
                <c:pt idx="1">
                  <c:v>2100</c:v>
                </c:pt>
                <c:pt idx="2">
                  <c:v>1500</c:v>
                </c:pt>
              </c:numCache>
            </c:numRef>
          </c:yVal>
          <c:smooth val="0"/>
          <c:extLst xmlns:c16r2="http://schemas.microsoft.com/office/drawing/2015/06/chart">
            <c:ext xmlns:c16="http://schemas.microsoft.com/office/drawing/2014/chart" uri="{C3380CC4-5D6E-409C-BE32-E72D297353CC}">
              <c16:uniqueId val="{00000001-53FE-4CAE-AF76-8C21AE515602}"/>
            </c:ext>
          </c:extLst>
        </c:ser>
        <c:ser>
          <c:idx val="2"/>
          <c:order val="2"/>
          <c:tx>
            <c:v>מיקום מ.כ.</c:v>
          </c:tx>
          <c:spPr>
            <a:effectLst>
              <a:outerShdw blurRad="88900" dist="12700" dir="8100000" sy="-23000" kx="800400" algn="br" rotWithShape="0">
                <a:prstClr val="black"/>
              </a:outerShdw>
            </a:effectLst>
          </c:spPr>
          <c:marker>
            <c:symbol val="diamond"/>
            <c:size val="13"/>
            <c:spPr>
              <a:solidFill>
                <a:schemeClr val="accent1"/>
              </a:solidFill>
              <a:effectLst>
                <a:outerShdw blurRad="88900" dist="12700" dir="8100000" sy="-23000" kx="800400" algn="br" rotWithShape="0">
                  <a:prstClr val="black"/>
                </a:outerShdw>
              </a:effectLst>
              <a:scene3d>
                <a:camera prst="orthographicFront"/>
                <a:lightRig rig="threePt" dir="t"/>
              </a:scene3d>
              <a:sp3d>
                <a:bevelT/>
              </a:sp3d>
            </c:spPr>
          </c:marker>
          <c:xVal>
            <c:numRef>
              <c:f>'משקל ואיזון CHV'!$B$12</c:f>
              <c:numCache>
                <c:formatCode>0.0</c:formatCode>
                <c:ptCount val="1"/>
                <c:pt idx="0">
                  <c:v>41.049399903984636</c:v>
                </c:pt>
              </c:numCache>
            </c:numRef>
          </c:xVal>
          <c:yVal>
            <c:numRef>
              <c:f>'משקל ואיזון CHV'!$B$13</c:f>
              <c:numCache>
                <c:formatCode>General</c:formatCode>
                <c:ptCount val="1"/>
                <c:pt idx="0">
                  <c:v>2083</c:v>
                </c:pt>
              </c:numCache>
            </c:numRef>
          </c:yVal>
          <c:smooth val="0"/>
          <c:extLst xmlns:c16r2="http://schemas.microsoft.com/office/drawing/2015/06/chart">
            <c:ext xmlns:c16="http://schemas.microsoft.com/office/drawing/2014/chart" uri="{C3380CC4-5D6E-409C-BE32-E72D297353CC}">
              <c16:uniqueId val="{00000002-53FE-4CAE-AF76-8C21AE515602}"/>
            </c:ext>
          </c:extLst>
        </c:ser>
        <c:dLbls>
          <c:showLegendKey val="0"/>
          <c:showVal val="0"/>
          <c:showCatName val="0"/>
          <c:showSerName val="0"/>
          <c:showPercent val="0"/>
          <c:showBubbleSize val="0"/>
        </c:dLbls>
        <c:axId val="61278080"/>
        <c:axId val="61280256"/>
      </c:scatterChart>
      <c:valAx>
        <c:axId val="61278080"/>
        <c:scaling>
          <c:orientation val="minMax"/>
          <c:max val="48"/>
          <c:min val="34"/>
        </c:scaling>
        <c:delete val="0"/>
        <c:axPos val="b"/>
        <c:majorGridlines/>
        <c:minorGridlines/>
        <c:numFmt formatCode="General" sourceLinked="1"/>
        <c:majorTickMark val="out"/>
        <c:minorTickMark val="none"/>
        <c:tickLblPos val="nextTo"/>
        <c:crossAx val="61280256"/>
        <c:crosses val="autoZero"/>
        <c:crossBetween val="midCat"/>
        <c:majorUnit val="1"/>
      </c:valAx>
      <c:valAx>
        <c:axId val="61280256"/>
        <c:scaling>
          <c:orientation val="minMax"/>
          <c:max val="2500"/>
          <c:min val="1500"/>
        </c:scaling>
        <c:delete val="0"/>
        <c:axPos val="l"/>
        <c:majorGridlines/>
        <c:numFmt formatCode="General" sourceLinked="0"/>
        <c:majorTickMark val="out"/>
        <c:minorTickMark val="none"/>
        <c:tickLblPos val="nextTo"/>
        <c:crossAx val="61278080"/>
        <c:crosses val="autoZero"/>
        <c:crossBetween val="midCat"/>
      </c:valAx>
    </c:plotArea>
    <c:plotVisOnly val="1"/>
    <c:dispBlanksAs val="gap"/>
    <c:showDLblsOverMax val="0"/>
  </c:chart>
  <c:spPr>
    <a:ln>
      <a:noFill/>
    </a:ln>
  </c:spPr>
  <c:printSettings>
    <c:headerFooter/>
    <c:pageMargins b="0.75000000000000844" l="0.70000000000000062" r="0.70000000000000062" t="0.750000000000008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7.9881726241123094E-2"/>
          <c:y val="7.7343854030824818E-2"/>
          <c:w val="0.8981262577695861"/>
          <c:h val="0.84522409979651425"/>
        </c:manualLayout>
      </c:layout>
      <c:scatterChart>
        <c:scatterStyle val="lineMarker"/>
        <c:varyColors val="0"/>
        <c:ser>
          <c:idx val="0"/>
          <c:order val="0"/>
          <c:tx>
            <c:v>CG FRAME</c:v>
          </c:tx>
          <c:xVal>
            <c:numRef>
              <c:f>'נתוני מטוסים'!$E$4:$E$8</c:f>
              <c:numCache>
                <c:formatCode>General</c:formatCode>
                <c:ptCount val="5"/>
                <c:pt idx="0">
                  <c:v>35</c:v>
                </c:pt>
                <c:pt idx="1">
                  <c:v>35</c:v>
                </c:pt>
                <c:pt idx="2">
                  <c:v>39.6</c:v>
                </c:pt>
                <c:pt idx="3">
                  <c:v>47.3</c:v>
                </c:pt>
                <c:pt idx="4">
                  <c:v>47.3</c:v>
                </c:pt>
              </c:numCache>
            </c:numRef>
          </c:xVal>
          <c:yVal>
            <c:numRef>
              <c:f>'נתוני מטוסים'!$D$4:$D$8</c:f>
              <c:numCache>
                <c:formatCode>General</c:formatCode>
                <c:ptCount val="5"/>
                <c:pt idx="0">
                  <c:v>1500</c:v>
                </c:pt>
                <c:pt idx="1">
                  <c:v>1960</c:v>
                </c:pt>
                <c:pt idx="2">
                  <c:v>2400</c:v>
                </c:pt>
                <c:pt idx="3">
                  <c:v>2400</c:v>
                </c:pt>
                <c:pt idx="4">
                  <c:v>1500</c:v>
                </c:pt>
              </c:numCache>
            </c:numRef>
          </c:yVal>
          <c:smooth val="0"/>
          <c:extLst xmlns:c16r2="http://schemas.microsoft.com/office/drawing/2015/06/chart">
            <c:ext xmlns:c16="http://schemas.microsoft.com/office/drawing/2014/chart" uri="{C3380CC4-5D6E-409C-BE32-E72D297353CC}">
              <c16:uniqueId val="{00000000-C26B-4F5F-970F-A3A33E35891C}"/>
            </c:ext>
          </c:extLst>
        </c:ser>
        <c:ser>
          <c:idx val="1"/>
          <c:order val="1"/>
          <c:tx>
            <c:v>UTILITY CAT</c:v>
          </c:tx>
          <c:xVal>
            <c:numRef>
              <c:f>'נתוני מטוסים'!$E$12:$E$14</c:f>
              <c:numCache>
                <c:formatCode>General</c:formatCode>
                <c:ptCount val="3"/>
                <c:pt idx="0">
                  <c:v>36.5</c:v>
                </c:pt>
                <c:pt idx="1">
                  <c:v>40.5</c:v>
                </c:pt>
                <c:pt idx="2">
                  <c:v>40.5</c:v>
                </c:pt>
              </c:numCache>
            </c:numRef>
          </c:xVal>
          <c:yVal>
            <c:numRef>
              <c:f>'נתוני מטוסים'!$D$12:$D$14</c:f>
              <c:numCache>
                <c:formatCode>General</c:formatCode>
                <c:ptCount val="3"/>
                <c:pt idx="0">
                  <c:v>2100</c:v>
                </c:pt>
                <c:pt idx="1">
                  <c:v>2100</c:v>
                </c:pt>
                <c:pt idx="2">
                  <c:v>1500</c:v>
                </c:pt>
              </c:numCache>
            </c:numRef>
          </c:yVal>
          <c:smooth val="0"/>
          <c:extLst xmlns:c16r2="http://schemas.microsoft.com/office/drawing/2015/06/chart">
            <c:ext xmlns:c16="http://schemas.microsoft.com/office/drawing/2014/chart" uri="{C3380CC4-5D6E-409C-BE32-E72D297353CC}">
              <c16:uniqueId val="{00000001-C26B-4F5F-970F-A3A33E35891C}"/>
            </c:ext>
          </c:extLst>
        </c:ser>
        <c:ser>
          <c:idx val="2"/>
          <c:order val="2"/>
          <c:tx>
            <c:v>מיקום מ.כ.</c:v>
          </c:tx>
          <c:spPr>
            <a:effectLst>
              <a:outerShdw blurRad="88900" dist="12700" dir="8100000" sy="-23000" kx="800400" algn="br" rotWithShape="0">
                <a:prstClr val="black"/>
              </a:outerShdw>
            </a:effectLst>
          </c:spPr>
          <c:marker>
            <c:symbol val="diamond"/>
            <c:size val="13"/>
            <c:spPr>
              <a:solidFill>
                <a:schemeClr val="accent1"/>
              </a:solidFill>
              <a:effectLst>
                <a:outerShdw blurRad="88900" dist="12700" dir="8100000" sy="-23000" kx="800400" algn="br" rotWithShape="0">
                  <a:prstClr val="black"/>
                </a:outerShdw>
              </a:effectLst>
              <a:scene3d>
                <a:camera prst="orthographicFront"/>
                <a:lightRig rig="threePt" dir="t"/>
              </a:scene3d>
              <a:sp3d>
                <a:bevelT/>
              </a:sp3d>
            </c:spPr>
          </c:marker>
          <c:xVal>
            <c:numRef>
              <c:f>'משקל ואיזון DAV'!$B$12</c:f>
              <c:numCache>
                <c:formatCode>0.0</c:formatCode>
                <c:ptCount val="1"/>
                <c:pt idx="0">
                  <c:v>40.447815275310838</c:v>
                </c:pt>
              </c:numCache>
            </c:numRef>
          </c:xVal>
          <c:yVal>
            <c:numRef>
              <c:f>'משקל ואיזון DAV'!$B$13</c:f>
              <c:numCache>
                <c:formatCode>General</c:formatCode>
                <c:ptCount val="1"/>
                <c:pt idx="0">
                  <c:v>2252</c:v>
                </c:pt>
              </c:numCache>
            </c:numRef>
          </c:yVal>
          <c:smooth val="0"/>
          <c:extLst xmlns:c16r2="http://schemas.microsoft.com/office/drawing/2015/06/chart">
            <c:ext xmlns:c16="http://schemas.microsoft.com/office/drawing/2014/chart" uri="{C3380CC4-5D6E-409C-BE32-E72D297353CC}">
              <c16:uniqueId val="{00000002-C26B-4F5F-970F-A3A33E35891C}"/>
            </c:ext>
          </c:extLst>
        </c:ser>
        <c:dLbls>
          <c:showLegendKey val="0"/>
          <c:showVal val="0"/>
          <c:showCatName val="0"/>
          <c:showSerName val="0"/>
          <c:showPercent val="0"/>
          <c:showBubbleSize val="0"/>
        </c:dLbls>
        <c:axId val="101615872"/>
        <c:axId val="101622144"/>
      </c:scatterChart>
      <c:valAx>
        <c:axId val="101615872"/>
        <c:scaling>
          <c:orientation val="minMax"/>
          <c:max val="48"/>
          <c:min val="34"/>
        </c:scaling>
        <c:delete val="0"/>
        <c:axPos val="b"/>
        <c:majorGridlines/>
        <c:minorGridlines/>
        <c:numFmt formatCode="General" sourceLinked="1"/>
        <c:majorTickMark val="out"/>
        <c:minorTickMark val="none"/>
        <c:tickLblPos val="nextTo"/>
        <c:crossAx val="101622144"/>
        <c:crosses val="autoZero"/>
        <c:crossBetween val="midCat"/>
        <c:majorUnit val="1"/>
      </c:valAx>
      <c:valAx>
        <c:axId val="101622144"/>
        <c:scaling>
          <c:orientation val="minMax"/>
          <c:max val="2500"/>
          <c:min val="1500"/>
        </c:scaling>
        <c:delete val="0"/>
        <c:axPos val="l"/>
        <c:majorGridlines/>
        <c:numFmt formatCode="General" sourceLinked="0"/>
        <c:majorTickMark val="out"/>
        <c:minorTickMark val="none"/>
        <c:tickLblPos val="nextTo"/>
        <c:crossAx val="101615872"/>
        <c:crosses val="autoZero"/>
        <c:crossBetween val="midCat"/>
      </c:valAx>
    </c:plotArea>
    <c:plotVisOnly val="1"/>
    <c:dispBlanksAs val="gap"/>
    <c:showDLblsOverMax val="0"/>
  </c:chart>
  <c:spPr>
    <a:ln>
      <a:noFill/>
    </a:ln>
  </c:spPr>
  <c:printSettings>
    <c:headerFooter/>
    <c:pageMargins b="0.75000000000000888" l="0.70000000000000062" r="0.70000000000000062" t="0.750000000000008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7.9881726241123122E-2"/>
          <c:y val="7.7343854030824818E-2"/>
          <c:w val="0.89812625776958632"/>
          <c:h val="0.84522409979651425"/>
        </c:manualLayout>
      </c:layout>
      <c:scatterChart>
        <c:scatterStyle val="lineMarker"/>
        <c:varyColors val="0"/>
        <c:ser>
          <c:idx val="0"/>
          <c:order val="0"/>
          <c:tx>
            <c:v>CG FRAME</c:v>
          </c:tx>
          <c:xVal>
            <c:numRef>
              <c:f>'נתוני מטוסים'!$E$23:$E$27</c:f>
              <c:numCache>
                <c:formatCode>General</c:formatCode>
                <c:ptCount val="5"/>
                <c:pt idx="0">
                  <c:v>35</c:v>
                </c:pt>
                <c:pt idx="1">
                  <c:v>35</c:v>
                </c:pt>
                <c:pt idx="2">
                  <c:v>39.6</c:v>
                </c:pt>
                <c:pt idx="3">
                  <c:v>47.3</c:v>
                </c:pt>
                <c:pt idx="4">
                  <c:v>47.3</c:v>
                </c:pt>
              </c:numCache>
            </c:numRef>
          </c:xVal>
          <c:yVal>
            <c:numRef>
              <c:f>'נתוני מטוסים'!$D$23:$D$27</c:f>
              <c:numCache>
                <c:formatCode>General</c:formatCode>
                <c:ptCount val="5"/>
                <c:pt idx="0">
                  <c:v>1500</c:v>
                </c:pt>
                <c:pt idx="1">
                  <c:v>1960</c:v>
                </c:pt>
                <c:pt idx="2">
                  <c:v>2550</c:v>
                </c:pt>
                <c:pt idx="3">
                  <c:v>2550</c:v>
                </c:pt>
                <c:pt idx="4">
                  <c:v>1500</c:v>
                </c:pt>
              </c:numCache>
            </c:numRef>
          </c:yVal>
          <c:smooth val="0"/>
          <c:extLst xmlns:c16r2="http://schemas.microsoft.com/office/drawing/2015/06/chart">
            <c:ext xmlns:c16="http://schemas.microsoft.com/office/drawing/2014/chart" uri="{C3380CC4-5D6E-409C-BE32-E72D297353CC}">
              <c16:uniqueId val="{00000000-EF33-4E4B-8D6A-09C02725BD98}"/>
            </c:ext>
          </c:extLst>
        </c:ser>
        <c:ser>
          <c:idx val="1"/>
          <c:order val="1"/>
          <c:tx>
            <c:v>UTILITY CAT</c:v>
          </c:tx>
          <c:xVal>
            <c:numRef>
              <c:f>'נתוני מטוסים'!$E$31:$E$33</c:f>
              <c:numCache>
                <c:formatCode>General</c:formatCode>
                <c:ptCount val="3"/>
                <c:pt idx="0">
                  <c:v>36.5</c:v>
                </c:pt>
                <c:pt idx="1">
                  <c:v>40.5</c:v>
                </c:pt>
                <c:pt idx="2">
                  <c:v>40.5</c:v>
                </c:pt>
              </c:numCache>
            </c:numRef>
          </c:xVal>
          <c:yVal>
            <c:numRef>
              <c:f>'נתוני מטוסים'!$D$31:$D$33</c:f>
              <c:numCache>
                <c:formatCode>General</c:formatCode>
                <c:ptCount val="3"/>
                <c:pt idx="0">
                  <c:v>2100</c:v>
                </c:pt>
                <c:pt idx="1">
                  <c:v>2100</c:v>
                </c:pt>
                <c:pt idx="2">
                  <c:v>1500</c:v>
                </c:pt>
              </c:numCache>
            </c:numRef>
          </c:yVal>
          <c:smooth val="0"/>
          <c:extLst xmlns:c16r2="http://schemas.microsoft.com/office/drawing/2015/06/chart">
            <c:ext xmlns:c16="http://schemas.microsoft.com/office/drawing/2014/chart" uri="{C3380CC4-5D6E-409C-BE32-E72D297353CC}">
              <c16:uniqueId val="{00000001-EF33-4E4B-8D6A-09C02725BD98}"/>
            </c:ext>
          </c:extLst>
        </c:ser>
        <c:ser>
          <c:idx val="2"/>
          <c:order val="2"/>
          <c:tx>
            <c:v>מיקום מ.כ.</c:v>
          </c:tx>
          <c:spPr>
            <a:effectLst>
              <a:outerShdw blurRad="88900" dist="12700" dir="8100000" sy="-23000" kx="800400" algn="br" rotWithShape="0">
                <a:prstClr val="black"/>
              </a:outerShdw>
            </a:effectLst>
          </c:spPr>
          <c:marker>
            <c:symbol val="diamond"/>
            <c:size val="13"/>
            <c:spPr>
              <a:solidFill>
                <a:schemeClr val="accent1"/>
              </a:solidFill>
              <a:effectLst>
                <a:outerShdw blurRad="88900" dist="12700" dir="8100000" sy="-23000" kx="800400" algn="br" rotWithShape="0">
                  <a:prstClr val="black"/>
                </a:outerShdw>
              </a:effectLst>
              <a:scene3d>
                <a:camera prst="orthographicFront"/>
                <a:lightRig rig="threePt" dir="t"/>
              </a:scene3d>
              <a:sp3d>
                <a:bevelT/>
              </a:sp3d>
            </c:spPr>
          </c:marker>
          <c:xVal>
            <c:numRef>
              <c:f>'משקל ואיזון CHD'!$B$12</c:f>
              <c:numCache>
                <c:formatCode>0.0</c:formatCode>
                <c:ptCount val="1"/>
                <c:pt idx="0">
                  <c:v>42.82123643227937</c:v>
                </c:pt>
              </c:numCache>
            </c:numRef>
          </c:xVal>
          <c:yVal>
            <c:numRef>
              <c:f>'משקל ואיזון CHD'!$B$13</c:f>
              <c:numCache>
                <c:formatCode>General</c:formatCode>
                <c:ptCount val="1"/>
                <c:pt idx="0">
                  <c:v>2542.8000000000002</c:v>
                </c:pt>
              </c:numCache>
            </c:numRef>
          </c:yVal>
          <c:smooth val="0"/>
          <c:extLst xmlns:c16r2="http://schemas.microsoft.com/office/drawing/2015/06/chart">
            <c:ext xmlns:c16="http://schemas.microsoft.com/office/drawing/2014/chart" uri="{C3380CC4-5D6E-409C-BE32-E72D297353CC}">
              <c16:uniqueId val="{00000002-EF33-4E4B-8D6A-09C02725BD98}"/>
            </c:ext>
          </c:extLst>
        </c:ser>
        <c:dLbls>
          <c:showLegendKey val="0"/>
          <c:showVal val="0"/>
          <c:showCatName val="0"/>
          <c:showSerName val="0"/>
          <c:showPercent val="0"/>
          <c:showBubbleSize val="0"/>
        </c:dLbls>
        <c:axId val="103729792"/>
        <c:axId val="103736064"/>
      </c:scatterChart>
      <c:valAx>
        <c:axId val="103729792"/>
        <c:scaling>
          <c:orientation val="minMax"/>
          <c:max val="48"/>
          <c:min val="34"/>
        </c:scaling>
        <c:delete val="0"/>
        <c:axPos val="b"/>
        <c:majorGridlines/>
        <c:minorGridlines/>
        <c:numFmt formatCode="General" sourceLinked="1"/>
        <c:majorTickMark val="out"/>
        <c:minorTickMark val="none"/>
        <c:tickLblPos val="nextTo"/>
        <c:crossAx val="103736064"/>
        <c:crosses val="autoZero"/>
        <c:crossBetween val="midCat"/>
        <c:majorUnit val="1"/>
      </c:valAx>
      <c:valAx>
        <c:axId val="103736064"/>
        <c:scaling>
          <c:orientation val="minMax"/>
          <c:max val="2600"/>
          <c:min val="1500"/>
        </c:scaling>
        <c:delete val="0"/>
        <c:axPos val="l"/>
        <c:majorGridlines/>
        <c:numFmt formatCode="General" sourceLinked="0"/>
        <c:majorTickMark val="out"/>
        <c:minorTickMark val="none"/>
        <c:tickLblPos val="nextTo"/>
        <c:crossAx val="103729792"/>
        <c:crosses val="autoZero"/>
        <c:crossBetween val="midCat"/>
        <c:majorUnit val="100"/>
      </c:valAx>
    </c:plotArea>
    <c:plotVisOnly val="1"/>
    <c:dispBlanksAs val="gap"/>
    <c:showDLblsOverMax val="0"/>
  </c:chart>
  <c:spPr>
    <a:ln>
      <a:noFill/>
    </a:ln>
  </c:spPr>
  <c:printSettings>
    <c:headerFooter/>
    <c:pageMargins b="0.7500000000000091" l="0.70000000000000062" r="0.70000000000000062" t="0.750000000000009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7.9881726241123149E-2"/>
          <c:y val="7.7343854030824818E-2"/>
          <c:w val="0.89812625776958654"/>
          <c:h val="0.84522409979651425"/>
        </c:manualLayout>
      </c:layout>
      <c:scatterChart>
        <c:scatterStyle val="lineMarker"/>
        <c:varyColors val="0"/>
        <c:ser>
          <c:idx val="0"/>
          <c:order val="0"/>
          <c:tx>
            <c:v>CG FRAME</c:v>
          </c:tx>
          <c:xVal>
            <c:numRef>
              <c:f>'נתוני מטוסים'!$K$23:$K$27</c:f>
              <c:numCache>
                <c:formatCode>General</c:formatCode>
                <c:ptCount val="5"/>
                <c:pt idx="0">
                  <c:v>31</c:v>
                </c:pt>
                <c:pt idx="1">
                  <c:v>31</c:v>
                </c:pt>
                <c:pt idx="2">
                  <c:v>39.6</c:v>
                </c:pt>
                <c:pt idx="3">
                  <c:v>50.5</c:v>
                </c:pt>
                <c:pt idx="4">
                  <c:v>50.5</c:v>
                </c:pt>
              </c:numCache>
            </c:numRef>
          </c:xVal>
          <c:yVal>
            <c:numRef>
              <c:f>'נתוני מטוסים'!$J$23:$J$27</c:f>
              <c:numCache>
                <c:formatCode>General</c:formatCode>
                <c:ptCount val="5"/>
                <c:pt idx="0">
                  <c:v>1500</c:v>
                </c:pt>
                <c:pt idx="1">
                  <c:v>1950</c:v>
                </c:pt>
                <c:pt idx="2">
                  <c:v>3800</c:v>
                </c:pt>
                <c:pt idx="3">
                  <c:v>3800</c:v>
                </c:pt>
                <c:pt idx="4">
                  <c:v>1500</c:v>
                </c:pt>
              </c:numCache>
            </c:numRef>
          </c:yVal>
          <c:smooth val="0"/>
          <c:extLst xmlns:c16r2="http://schemas.microsoft.com/office/drawing/2015/06/chart">
            <c:ext xmlns:c16="http://schemas.microsoft.com/office/drawing/2014/chart" uri="{C3380CC4-5D6E-409C-BE32-E72D297353CC}">
              <c16:uniqueId val="{00000000-5A5B-44F7-926A-22A4B4DF5A2D}"/>
            </c:ext>
          </c:extLst>
        </c:ser>
        <c:ser>
          <c:idx val="1"/>
          <c:order val="1"/>
          <c:tx>
            <c:v>UTILITY CAT</c:v>
          </c:tx>
          <c:xVal>
            <c:numRef>
              <c:f>'נתוני מטוסים'!$K$34:$K$36</c:f>
              <c:numCache>
                <c:formatCode>General</c:formatCode>
                <c:ptCount val="3"/>
                <c:pt idx="0">
                  <c:v>35.5</c:v>
                </c:pt>
                <c:pt idx="1">
                  <c:v>40.5</c:v>
                </c:pt>
                <c:pt idx="2">
                  <c:v>40.5</c:v>
                </c:pt>
              </c:numCache>
            </c:numRef>
          </c:xVal>
          <c:yVal>
            <c:numRef>
              <c:f>'נתוני מטוסים'!$J$34:$J$36</c:f>
              <c:numCache>
                <c:formatCode>General</c:formatCode>
                <c:ptCount val="3"/>
                <c:pt idx="0">
                  <c:v>2000</c:v>
                </c:pt>
                <c:pt idx="1">
                  <c:v>2000</c:v>
                </c:pt>
                <c:pt idx="2">
                  <c:v>1500</c:v>
                </c:pt>
              </c:numCache>
            </c:numRef>
          </c:yVal>
          <c:smooth val="0"/>
          <c:extLst xmlns:c16r2="http://schemas.microsoft.com/office/drawing/2015/06/chart">
            <c:ext xmlns:c16="http://schemas.microsoft.com/office/drawing/2014/chart" uri="{C3380CC4-5D6E-409C-BE32-E72D297353CC}">
              <c16:uniqueId val="{00000001-5A5B-44F7-926A-22A4B4DF5A2D}"/>
            </c:ext>
          </c:extLst>
        </c:ser>
        <c:ser>
          <c:idx val="2"/>
          <c:order val="2"/>
          <c:tx>
            <c:v>מיקום מ.כ.</c:v>
          </c:tx>
          <c:spPr>
            <a:effectLst>
              <a:outerShdw blurRad="88900" dist="12700" dir="8100000" sy="-23000" kx="800400" algn="br" rotWithShape="0">
                <a:prstClr val="black"/>
              </a:outerShdw>
            </a:effectLst>
          </c:spPr>
          <c:marker>
            <c:symbol val="diamond"/>
            <c:size val="13"/>
            <c:spPr>
              <a:solidFill>
                <a:schemeClr val="accent1"/>
              </a:solidFill>
              <a:effectLst>
                <a:outerShdw blurRad="88900" dist="12700" dir="8100000" sy="-23000" kx="800400" algn="br" rotWithShape="0">
                  <a:prstClr val="black"/>
                </a:outerShdw>
              </a:effectLst>
              <a:scene3d>
                <a:camera prst="orthographicFront"/>
                <a:lightRig rig="threePt" dir="t"/>
              </a:scene3d>
              <a:sp3d>
                <a:bevelT/>
              </a:sp3d>
            </c:spPr>
          </c:marker>
          <c:xVal>
            <c:numRef>
              <c:f>'משקל ואיזון CWV'!$B$16</c:f>
              <c:numCache>
                <c:formatCode>0.0</c:formatCode>
                <c:ptCount val="1"/>
                <c:pt idx="0">
                  <c:v>40.896430236220475</c:v>
                </c:pt>
              </c:numCache>
            </c:numRef>
          </c:xVal>
          <c:yVal>
            <c:numRef>
              <c:f>'משקל ואיזון CWV'!$B$17</c:f>
              <c:numCache>
                <c:formatCode>General</c:formatCode>
                <c:ptCount val="1"/>
                <c:pt idx="0">
                  <c:v>3175</c:v>
                </c:pt>
              </c:numCache>
            </c:numRef>
          </c:yVal>
          <c:smooth val="0"/>
          <c:extLst xmlns:c16r2="http://schemas.microsoft.com/office/drawing/2015/06/chart">
            <c:ext xmlns:c16="http://schemas.microsoft.com/office/drawing/2014/chart" uri="{C3380CC4-5D6E-409C-BE32-E72D297353CC}">
              <c16:uniqueId val="{00000002-5A5B-44F7-926A-22A4B4DF5A2D}"/>
            </c:ext>
          </c:extLst>
        </c:ser>
        <c:dLbls>
          <c:showLegendKey val="0"/>
          <c:showVal val="0"/>
          <c:showCatName val="0"/>
          <c:showSerName val="0"/>
          <c:showPercent val="0"/>
          <c:showBubbleSize val="0"/>
        </c:dLbls>
        <c:axId val="115412352"/>
        <c:axId val="115414528"/>
      </c:scatterChart>
      <c:valAx>
        <c:axId val="115412352"/>
        <c:scaling>
          <c:orientation val="minMax"/>
          <c:max val="52"/>
          <c:min val="30"/>
        </c:scaling>
        <c:delete val="0"/>
        <c:axPos val="b"/>
        <c:majorGridlines/>
        <c:minorGridlines/>
        <c:numFmt formatCode="General" sourceLinked="1"/>
        <c:majorTickMark val="out"/>
        <c:minorTickMark val="none"/>
        <c:tickLblPos val="nextTo"/>
        <c:crossAx val="115414528"/>
        <c:crosses val="autoZero"/>
        <c:crossBetween val="midCat"/>
        <c:majorUnit val="1"/>
      </c:valAx>
      <c:valAx>
        <c:axId val="115414528"/>
        <c:scaling>
          <c:orientation val="minMax"/>
          <c:max val="3900"/>
          <c:min val="2400"/>
        </c:scaling>
        <c:delete val="0"/>
        <c:axPos val="l"/>
        <c:majorGridlines/>
        <c:numFmt formatCode="General" sourceLinked="0"/>
        <c:majorTickMark val="out"/>
        <c:minorTickMark val="none"/>
        <c:tickLblPos val="nextTo"/>
        <c:crossAx val="115412352"/>
        <c:crosses val="autoZero"/>
        <c:crossBetween val="midCat"/>
      </c:valAx>
    </c:plotArea>
    <c:plotVisOnly val="1"/>
    <c:dispBlanksAs val="gap"/>
    <c:showDLblsOverMax val="0"/>
  </c:chart>
  <c:spPr>
    <a:ln>
      <a:noFill/>
    </a:ln>
  </c:spPr>
  <c:printSettings>
    <c:headerFooter/>
    <c:pageMargins b="0.75000000000000933" l="0.70000000000000062" r="0.70000000000000062" t="0.750000000000009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7.9881726241123052E-2"/>
          <c:y val="7.7343854030824818E-2"/>
          <c:w val="0.89812625776958588"/>
          <c:h val="0.84522409979651425"/>
        </c:manualLayout>
      </c:layout>
      <c:scatterChart>
        <c:scatterStyle val="lineMarker"/>
        <c:varyColors val="0"/>
        <c:ser>
          <c:idx val="0"/>
          <c:order val="0"/>
          <c:tx>
            <c:v>CG FRAME</c:v>
          </c:tx>
          <c:xVal>
            <c:numRef>
              <c:f>'נתוני מטוסים'!$K$46:$K$50</c:f>
              <c:numCache>
                <c:formatCode>General</c:formatCode>
                <c:ptCount val="5"/>
                <c:pt idx="0">
                  <c:v>35</c:v>
                </c:pt>
                <c:pt idx="1">
                  <c:v>35</c:v>
                </c:pt>
                <c:pt idx="2">
                  <c:v>39.6</c:v>
                </c:pt>
                <c:pt idx="3">
                  <c:v>47.3</c:v>
                </c:pt>
                <c:pt idx="4">
                  <c:v>47.3</c:v>
                </c:pt>
              </c:numCache>
            </c:numRef>
          </c:xVal>
          <c:yVal>
            <c:numRef>
              <c:f>'נתוני מטוסים'!$J$46:$J$50</c:f>
              <c:numCache>
                <c:formatCode>General</c:formatCode>
                <c:ptCount val="5"/>
                <c:pt idx="0">
                  <c:v>1500</c:v>
                </c:pt>
                <c:pt idx="1">
                  <c:v>1950</c:v>
                </c:pt>
                <c:pt idx="2">
                  <c:v>2300</c:v>
                </c:pt>
                <c:pt idx="3">
                  <c:v>2300</c:v>
                </c:pt>
                <c:pt idx="4">
                  <c:v>1500</c:v>
                </c:pt>
              </c:numCache>
            </c:numRef>
          </c:yVal>
          <c:smooth val="0"/>
          <c:extLst xmlns:c16r2="http://schemas.microsoft.com/office/drawing/2015/06/chart">
            <c:ext xmlns:c16="http://schemas.microsoft.com/office/drawing/2014/chart" uri="{C3380CC4-5D6E-409C-BE32-E72D297353CC}">
              <c16:uniqueId val="{00000000-3DA4-406E-9681-AC7DA996B2AC}"/>
            </c:ext>
          </c:extLst>
        </c:ser>
        <c:ser>
          <c:idx val="1"/>
          <c:order val="1"/>
          <c:tx>
            <c:v>UTILITY CAT</c:v>
          </c:tx>
          <c:xVal>
            <c:numRef>
              <c:f>'נתוני מטוסים'!$K$54:$K$56</c:f>
              <c:numCache>
                <c:formatCode>General</c:formatCode>
                <c:ptCount val="3"/>
                <c:pt idx="0">
                  <c:v>35.5</c:v>
                </c:pt>
                <c:pt idx="1">
                  <c:v>40.5</c:v>
                </c:pt>
                <c:pt idx="2">
                  <c:v>40.5</c:v>
                </c:pt>
              </c:numCache>
            </c:numRef>
          </c:xVal>
          <c:yVal>
            <c:numRef>
              <c:f>'נתוני מטוסים'!$J$54:$J$56</c:f>
              <c:numCache>
                <c:formatCode>General</c:formatCode>
                <c:ptCount val="3"/>
                <c:pt idx="0">
                  <c:v>2000</c:v>
                </c:pt>
                <c:pt idx="1">
                  <c:v>2000</c:v>
                </c:pt>
                <c:pt idx="2">
                  <c:v>1500</c:v>
                </c:pt>
              </c:numCache>
            </c:numRef>
          </c:yVal>
          <c:smooth val="0"/>
          <c:extLst xmlns:c16r2="http://schemas.microsoft.com/office/drawing/2015/06/chart">
            <c:ext xmlns:c16="http://schemas.microsoft.com/office/drawing/2014/chart" uri="{C3380CC4-5D6E-409C-BE32-E72D297353CC}">
              <c16:uniqueId val="{00000001-3DA4-406E-9681-AC7DA996B2AC}"/>
            </c:ext>
          </c:extLst>
        </c:ser>
        <c:ser>
          <c:idx val="2"/>
          <c:order val="2"/>
          <c:tx>
            <c:v>מיקום מ.כ.</c:v>
          </c:tx>
          <c:spPr>
            <a:effectLst>
              <a:outerShdw blurRad="88900" dist="12700" dir="8100000" sy="-23000" kx="800400" algn="br" rotWithShape="0">
                <a:prstClr val="black"/>
              </a:outerShdw>
            </a:effectLst>
          </c:spPr>
          <c:marker>
            <c:symbol val="diamond"/>
            <c:size val="13"/>
            <c:spPr>
              <a:solidFill>
                <a:schemeClr val="accent1"/>
              </a:solidFill>
              <a:effectLst>
                <a:outerShdw blurRad="88900" dist="12700" dir="8100000" sy="-23000" kx="800400" algn="br" rotWithShape="0">
                  <a:prstClr val="black"/>
                </a:outerShdw>
              </a:effectLst>
              <a:scene3d>
                <a:camera prst="orthographicFront"/>
                <a:lightRig rig="threePt" dir="t"/>
              </a:scene3d>
              <a:sp3d>
                <a:bevelT/>
              </a:sp3d>
            </c:spPr>
          </c:marker>
          <c:xVal>
            <c:numRef>
              <c:f>'משקל ואיזון CDJ'!$B$12</c:f>
              <c:numCache>
                <c:formatCode>0.0</c:formatCode>
                <c:ptCount val="1"/>
                <c:pt idx="0">
                  <c:v>39.770579779587933</c:v>
                </c:pt>
              </c:numCache>
            </c:numRef>
          </c:xVal>
          <c:yVal>
            <c:numRef>
              <c:f>'משקל ואיזון CDJ'!$B$13</c:f>
              <c:numCache>
                <c:formatCode>General</c:formatCode>
                <c:ptCount val="1"/>
                <c:pt idx="0">
                  <c:v>2087</c:v>
                </c:pt>
              </c:numCache>
            </c:numRef>
          </c:yVal>
          <c:smooth val="0"/>
          <c:extLst xmlns:c16r2="http://schemas.microsoft.com/office/drawing/2015/06/chart">
            <c:ext xmlns:c16="http://schemas.microsoft.com/office/drawing/2014/chart" uri="{C3380CC4-5D6E-409C-BE32-E72D297353CC}">
              <c16:uniqueId val="{00000002-3DA4-406E-9681-AC7DA996B2AC}"/>
            </c:ext>
          </c:extLst>
        </c:ser>
        <c:dLbls>
          <c:showLegendKey val="0"/>
          <c:showVal val="0"/>
          <c:showCatName val="0"/>
          <c:showSerName val="0"/>
          <c:showPercent val="0"/>
          <c:showBubbleSize val="0"/>
        </c:dLbls>
        <c:axId val="117160192"/>
        <c:axId val="117162368"/>
      </c:scatterChart>
      <c:valAx>
        <c:axId val="117160192"/>
        <c:scaling>
          <c:orientation val="minMax"/>
          <c:max val="48"/>
          <c:min val="34"/>
        </c:scaling>
        <c:delete val="0"/>
        <c:axPos val="b"/>
        <c:majorGridlines/>
        <c:minorGridlines/>
        <c:numFmt formatCode="General" sourceLinked="1"/>
        <c:majorTickMark val="out"/>
        <c:minorTickMark val="none"/>
        <c:tickLblPos val="nextTo"/>
        <c:crossAx val="117162368"/>
        <c:crosses val="autoZero"/>
        <c:crossBetween val="midCat"/>
        <c:majorUnit val="1"/>
      </c:valAx>
      <c:valAx>
        <c:axId val="117162368"/>
        <c:scaling>
          <c:orientation val="minMax"/>
          <c:max val="2500"/>
          <c:min val="1500"/>
        </c:scaling>
        <c:delete val="0"/>
        <c:axPos val="l"/>
        <c:majorGridlines/>
        <c:numFmt formatCode="General" sourceLinked="0"/>
        <c:majorTickMark val="out"/>
        <c:minorTickMark val="none"/>
        <c:tickLblPos val="nextTo"/>
        <c:crossAx val="117160192"/>
        <c:crosses val="autoZero"/>
        <c:crossBetween val="midCat"/>
      </c:valAx>
    </c:plotArea>
    <c:plotVisOnly val="1"/>
    <c:dispBlanksAs val="gap"/>
    <c:showDLblsOverMax val="0"/>
  </c:chart>
  <c:spPr>
    <a:ln>
      <a:noFill/>
    </a:ln>
  </c:spPr>
  <c:printSettings>
    <c:headerFooter/>
    <c:pageMargins b="0.75000000000000866" l="0.70000000000000062" r="0.70000000000000062" t="0.750000000000008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7.9881726241123177E-2"/>
          <c:y val="7.7343854030824818E-2"/>
          <c:w val="0.89812625776958677"/>
          <c:h val="0.84522409979651425"/>
        </c:manualLayout>
      </c:layout>
      <c:scatterChart>
        <c:scatterStyle val="lineMarker"/>
        <c:varyColors val="0"/>
        <c:ser>
          <c:idx val="0"/>
          <c:order val="0"/>
          <c:tx>
            <c:v>CG FRAME</c:v>
          </c:tx>
          <c:xVal>
            <c:numRef>
              <c:f>'נתוני מטוסים'!$K$66:$K$70</c:f>
              <c:numCache>
                <c:formatCode>General</c:formatCode>
                <c:ptCount val="5"/>
                <c:pt idx="0">
                  <c:v>35</c:v>
                </c:pt>
                <c:pt idx="1">
                  <c:v>35</c:v>
                </c:pt>
                <c:pt idx="2">
                  <c:v>39.6</c:v>
                </c:pt>
                <c:pt idx="3">
                  <c:v>47.3</c:v>
                </c:pt>
                <c:pt idx="4">
                  <c:v>47.3</c:v>
                </c:pt>
              </c:numCache>
            </c:numRef>
          </c:xVal>
          <c:yVal>
            <c:numRef>
              <c:f>'נתוני מטוסים'!$J$66:$J$70</c:f>
              <c:numCache>
                <c:formatCode>General</c:formatCode>
                <c:ptCount val="5"/>
                <c:pt idx="0">
                  <c:v>1500</c:v>
                </c:pt>
                <c:pt idx="1">
                  <c:v>1950</c:v>
                </c:pt>
                <c:pt idx="2">
                  <c:v>2300</c:v>
                </c:pt>
                <c:pt idx="3">
                  <c:v>2300</c:v>
                </c:pt>
                <c:pt idx="4">
                  <c:v>1500</c:v>
                </c:pt>
              </c:numCache>
            </c:numRef>
          </c:yVal>
          <c:smooth val="0"/>
          <c:extLst xmlns:c16r2="http://schemas.microsoft.com/office/drawing/2015/06/chart">
            <c:ext xmlns:c16="http://schemas.microsoft.com/office/drawing/2014/chart" uri="{C3380CC4-5D6E-409C-BE32-E72D297353CC}">
              <c16:uniqueId val="{00000000-8C94-4850-BB8C-DCBFCA28C0F1}"/>
            </c:ext>
          </c:extLst>
        </c:ser>
        <c:ser>
          <c:idx val="1"/>
          <c:order val="1"/>
          <c:tx>
            <c:v>UTILITY CAT</c:v>
          </c:tx>
          <c:xVal>
            <c:numRef>
              <c:f>'נתוני מטוסים'!$K$74:$K$76</c:f>
              <c:numCache>
                <c:formatCode>General</c:formatCode>
                <c:ptCount val="3"/>
                <c:pt idx="0">
                  <c:v>36.5</c:v>
                </c:pt>
                <c:pt idx="1">
                  <c:v>40.5</c:v>
                </c:pt>
                <c:pt idx="2">
                  <c:v>40.5</c:v>
                </c:pt>
              </c:numCache>
            </c:numRef>
          </c:xVal>
          <c:yVal>
            <c:numRef>
              <c:f>'נתוני מטוסים'!$J$74:$J$76</c:f>
              <c:numCache>
                <c:formatCode>General</c:formatCode>
                <c:ptCount val="3"/>
                <c:pt idx="0">
                  <c:v>2000</c:v>
                </c:pt>
                <c:pt idx="1">
                  <c:v>2000</c:v>
                </c:pt>
                <c:pt idx="2">
                  <c:v>1500</c:v>
                </c:pt>
              </c:numCache>
            </c:numRef>
          </c:yVal>
          <c:smooth val="0"/>
          <c:extLst xmlns:c16r2="http://schemas.microsoft.com/office/drawing/2015/06/chart">
            <c:ext xmlns:c16="http://schemas.microsoft.com/office/drawing/2014/chart" uri="{C3380CC4-5D6E-409C-BE32-E72D297353CC}">
              <c16:uniqueId val="{00000001-8C94-4850-BB8C-DCBFCA28C0F1}"/>
            </c:ext>
          </c:extLst>
        </c:ser>
        <c:ser>
          <c:idx val="2"/>
          <c:order val="2"/>
          <c:tx>
            <c:v>מיקום מ.כ.</c:v>
          </c:tx>
          <c:spPr>
            <a:effectLst>
              <a:outerShdw blurRad="88900" dist="12700" dir="8100000" sy="-23000" kx="800400" algn="br" rotWithShape="0">
                <a:prstClr val="black"/>
              </a:outerShdw>
            </a:effectLst>
          </c:spPr>
          <c:marker>
            <c:symbol val="diamond"/>
            <c:size val="13"/>
            <c:spPr>
              <a:solidFill>
                <a:schemeClr val="accent1"/>
              </a:solidFill>
              <a:effectLst>
                <a:outerShdw blurRad="88900" dist="12700" dir="8100000" sy="-23000" kx="800400" algn="br" rotWithShape="0">
                  <a:prstClr val="black"/>
                </a:outerShdw>
              </a:effectLst>
              <a:scene3d>
                <a:camera prst="orthographicFront"/>
                <a:lightRig rig="threePt" dir="t"/>
              </a:scene3d>
              <a:sp3d>
                <a:bevelT/>
              </a:sp3d>
            </c:spPr>
          </c:marker>
          <c:xVal>
            <c:numRef>
              <c:f>'משקל ואיזון DBV'!$B$12</c:f>
              <c:numCache>
                <c:formatCode>0.0</c:formatCode>
                <c:ptCount val="1"/>
                <c:pt idx="0">
                  <c:v>40.294813027744269</c:v>
                </c:pt>
              </c:numCache>
            </c:numRef>
          </c:xVal>
          <c:yVal>
            <c:numRef>
              <c:f>'משקל ואיזון DBV'!$B$13</c:f>
              <c:numCache>
                <c:formatCode>General</c:formatCode>
                <c:ptCount val="1"/>
                <c:pt idx="0">
                  <c:v>1658</c:v>
                </c:pt>
              </c:numCache>
            </c:numRef>
          </c:yVal>
          <c:smooth val="0"/>
          <c:extLst xmlns:c16r2="http://schemas.microsoft.com/office/drawing/2015/06/chart">
            <c:ext xmlns:c16="http://schemas.microsoft.com/office/drawing/2014/chart" uri="{C3380CC4-5D6E-409C-BE32-E72D297353CC}">
              <c16:uniqueId val="{00000002-8C94-4850-BB8C-DCBFCA28C0F1}"/>
            </c:ext>
          </c:extLst>
        </c:ser>
        <c:dLbls>
          <c:showLegendKey val="0"/>
          <c:showVal val="0"/>
          <c:showCatName val="0"/>
          <c:showSerName val="0"/>
          <c:showPercent val="0"/>
          <c:showBubbleSize val="0"/>
        </c:dLbls>
        <c:axId val="124734464"/>
        <c:axId val="124736640"/>
      </c:scatterChart>
      <c:valAx>
        <c:axId val="124734464"/>
        <c:scaling>
          <c:orientation val="minMax"/>
          <c:max val="48"/>
          <c:min val="34"/>
        </c:scaling>
        <c:delete val="0"/>
        <c:axPos val="b"/>
        <c:majorGridlines/>
        <c:minorGridlines/>
        <c:numFmt formatCode="General" sourceLinked="1"/>
        <c:majorTickMark val="out"/>
        <c:minorTickMark val="none"/>
        <c:tickLblPos val="nextTo"/>
        <c:crossAx val="124736640"/>
        <c:crosses val="autoZero"/>
        <c:crossBetween val="midCat"/>
        <c:majorUnit val="1"/>
      </c:valAx>
      <c:valAx>
        <c:axId val="124736640"/>
        <c:scaling>
          <c:orientation val="minMax"/>
          <c:max val="2700"/>
          <c:min val="1500"/>
        </c:scaling>
        <c:delete val="0"/>
        <c:axPos val="l"/>
        <c:majorGridlines/>
        <c:numFmt formatCode="General" sourceLinked="0"/>
        <c:majorTickMark val="out"/>
        <c:minorTickMark val="none"/>
        <c:tickLblPos val="nextTo"/>
        <c:crossAx val="124734464"/>
        <c:crosses val="autoZero"/>
        <c:crossBetween val="midCat"/>
      </c:valAx>
    </c:plotArea>
    <c:plotVisOnly val="1"/>
    <c:dispBlanksAs val="gap"/>
    <c:showDLblsOverMax val="0"/>
  </c:chart>
  <c:spPr>
    <a:ln>
      <a:noFill/>
    </a:ln>
  </c:spPr>
  <c:printSettings>
    <c:headerFooter/>
    <c:pageMargins b="0.75000000000000955" l="0.70000000000000062" r="0.70000000000000062" t="0.750000000000009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7.9881726241123177E-2"/>
          <c:y val="7.7343854030824818E-2"/>
          <c:w val="0.89812625776958677"/>
          <c:h val="0.84522409979651425"/>
        </c:manualLayout>
      </c:layout>
      <c:scatterChart>
        <c:scatterStyle val="lineMarker"/>
        <c:varyColors val="0"/>
        <c:ser>
          <c:idx val="0"/>
          <c:order val="0"/>
          <c:tx>
            <c:v>CG FRAME</c:v>
          </c:tx>
          <c:xVal>
            <c:numRef>
              <c:f>'נתוני מטוסים'!$E$62:$E$66</c:f>
              <c:numCache>
                <c:formatCode>General</c:formatCode>
                <c:ptCount val="5"/>
                <c:pt idx="0">
                  <c:v>35</c:v>
                </c:pt>
                <c:pt idx="1">
                  <c:v>35</c:v>
                </c:pt>
                <c:pt idx="2">
                  <c:v>39.6</c:v>
                </c:pt>
                <c:pt idx="3">
                  <c:v>47.3</c:v>
                </c:pt>
                <c:pt idx="4">
                  <c:v>47.3</c:v>
                </c:pt>
              </c:numCache>
            </c:numRef>
          </c:xVal>
          <c:yVal>
            <c:numRef>
              <c:f>'נתוני מטוסים'!$D$62:$D$66</c:f>
              <c:numCache>
                <c:formatCode>General</c:formatCode>
                <c:ptCount val="5"/>
                <c:pt idx="0">
                  <c:v>1500</c:v>
                </c:pt>
                <c:pt idx="1">
                  <c:v>1960</c:v>
                </c:pt>
                <c:pt idx="2">
                  <c:v>2550</c:v>
                </c:pt>
                <c:pt idx="3">
                  <c:v>2550</c:v>
                </c:pt>
                <c:pt idx="4">
                  <c:v>1500</c:v>
                </c:pt>
              </c:numCache>
            </c:numRef>
          </c:yVal>
          <c:smooth val="0"/>
          <c:extLst xmlns:c16r2="http://schemas.microsoft.com/office/drawing/2015/06/chart">
            <c:ext xmlns:c16="http://schemas.microsoft.com/office/drawing/2014/chart" uri="{C3380CC4-5D6E-409C-BE32-E72D297353CC}">
              <c16:uniqueId val="{00000000-DA45-4DA8-89C8-E859C7FB2ADE}"/>
            </c:ext>
          </c:extLst>
        </c:ser>
        <c:ser>
          <c:idx val="1"/>
          <c:order val="1"/>
          <c:tx>
            <c:v>UTILITY CAT</c:v>
          </c:tx>
          <c:xVal>
            <c:numRef>
              <c:f>'נתוני מטוסים'!$E$50:$E$52</c:f>
              <c:numCache>
                <c:formatCode>General</c:formatCode>
                <c:ptCount val="3"/>
                <c:pt idx="0">
                  <c:v>37.299999999999997</c:v>
                </c:pt>
                <c:pt idx="1">
                  <c:v>40.5</c:v>
                </c:pt>
                <c:pt idx="2">
                  <c:v>40.5</c:v>
                </c:pt>
              </c:numCache>
            </c:numRef>
          </c:xVal>
          <c:yVal>
            <c:numRef>
              <c:f>'נתוני מטוסים'!$D$50:$D$52</c:f>
              <c:numCache>
                <c:formatCode>General</c:formatCode>
                <c:ptCount val="3"/>
                <c:pt idx="0">
                  <c:v>2200</c:v>
                </c:pt>
                <c:pt idx="1">
                  <c:v>2200</c:v>
                </c:pt>
                <c:pt idx="2">
                  <c:v>1500</c:v>
                </c:pt>
              </c:numCache>
            </c:numRef>
          </c:yVal>
          <c:smooth val="0"/>
          <c:extLst xmlns:c16r2="http://schemas.microsoft.com/office/drawing/2015/06/chart">
            <c:ext xmlns:c16="http://schemas.microsoft.com/office/drawing/2014/chart" uri="{C3380CC4-5D6E-409C-BE32-E72D297353CC}">
              <c16:uniqueId val="{00000001-DA45-4DA8-89C8-E859C7FB2ADE}"/>
            </c:ext>
          </c:extLst>
        </c:ser>
        <c:ser>
          <c:idx val="2"/>
          <c:order val="2"/>
          <c:tx>
            <c:v>מיקום מ.כ.</c:v>
          </c:tx>
          <c:spPr>
            <a:effectLst>
              <a:outerShdw blurRad="88900" dist="12700" dir="8100000" sy="-23000" kx="800400" algn="br" rotWithShape="0">
                <a:prstClr val="black"/>
              </a:outerShdw>
            </a:effectLst>
          </c:spPr>
          <c:marker>
            <c:symbol val="diamond"/>
            <c:size val="13"/>
            <c:spPr>
              <a:solidFill>
                <a:schemeClr val="accent1"/>
              </a:solidFill>
              <a:effectLst>
                <a:outerShdw blurRad="88900" dist="12700" dir="8100000" sy="-23000" kx="800400" algn="br" rotWithShape="0">
                  <a:prstClr val="black"/>
                </a:outerShdw>
              </a:effectLst>
              <a:scene3d>
                <a:camera prst="orthographicFront"/>
                <a:lightRig rig="threePt" dir="t"/>
              </a:scene3d>
              <a:sp3d>
                <a:bevelT/>
              </a:sp3d>
            </c:spPr>
          </c:marker>
          <c:xVal>
            <c:numRef>
              <c:f>'משקל ואיזון YYY'!$B$12</c:f>
              <c:numCache>
                <c:formatCode>0.0</c:formatCode>
                <c:ptCount val="1"/>
                <c:pt idx="0">
                  <c:v>39.301176470588238</c:v>
                </c:pt>
              </c:numCache>
            </c:numRef>
          </c:xVal>
          <c:yVal>
            <c:numRef>
              <c:f>'משקל ואיזון YYY'!$B$13</c:f>
              <c:numCache>
                <c:formatCode>General</c:formatCode>
                <c:ptCount val="1"/>
                <c:pt idx="0">
                  <c:v>2125</c:v>
                </c:pt>
              </c:numCache>
            </c:numRef>
          </c:yVal>
          <c:smooth val="0"/>
          <c:extLst xmlns:c16r2="http://schemas.microsoft.com/office/drawing/2015/06/chart">
            <c:ext xmlns:c16="http://schemas.microsoft.com/office/drawing/2014/chart" uri="{C3380CC4-5D6E-409C-BE32-E72D297353CC}">
              <c16:uniqueId val="{00000002-DA45-4DA8-89C8-E859C7FB2ADE}"/>
            </c:ext>
          </c:extLst>
        </c:ser>
        <c:dLbls>
          <c:showLegendKey val="0"/>
          <c:showVal val="0"/>
          <c:showCatName val="0"/>
          <c:showSerName val="0"/>
          <c:showPercent val="0"/>
          <c:showBubbleSize val="0"/>
        </c:dLbls>
        <c:axId val="126303232"/>
        <c:axId val="126305408"/>
      </c:scatterChart>
      <c:valAx>
        <c:axId val="126303232"/>
        <c:scaling>
          <c:orientation val="minMax"/>
          <c:max val="48"/>
          <c:min val="34"/>
        </c:scaling>
        <c:delete val="0"/>
        <c:axPos val="b"/>
        <c:majorGridlines/>
        <c:minorGridlines/>
        <c:numFmt formatCode="General" sourceLinked="1"/>
        <c:majorTickMark val="out"/>
        <c:minorTickMark val="none"/>
        <c:tickLblPos val="nextTo"/>
        <c:crossAx val="126305408"/>
        <c:crosses val="autoZero"/>
        <c:crossBetween val="midCat"/>
        <c:majorUnit val="1"/>
      </c:valAx>
      <c:valAx>
        <c:axId val="126305408"/>
        <c:scaling>
          <c:orientation val="minMax"/>
          <c:max val="2700"/>
          <c:min val="1500"/>
        </c:scaling>
        <c:delete val="0"/>
        <c:axPos val="l"/>
        <c:majorGridlines/>
        <c:numFmt formatCode="General" sourceLinked="0"/>
        <c:majorTickMark val="out"/>
        <c:minorTickMark val="none"/>
        <c:tickLblPos val="nextTo"/>
        <c:crossAx val="126303232"/>
        <c:crosses val="autoZero"/>
        <c:crossBetween val="midCat"/>
      </c:valAx>
    </c:plotArea>
    <c:plotVisOnly val="1"/>
    <c:dispBlanksAs val="gap"/>
    <c:showDLblsOverMax val="0"/>
  </c:chart>
  <c:spPr>
    <a:ln>
      <a:noFill/>
    </a:ln>
  </c:sp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7.xm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xm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790575</xdr:colOff>
      <xdr:row>7</xdr:row>
      <xdr:rowOff>128199</xdr:rowOff>
    </xdr:from>
    <xdr:to>
      <xdr:col>2</xdr:col>
      <xdr:colOff>2968891</xdr:colOff>
      <xdr:row>11</xdr:row>
      <xdr:rowOff>531100</xdr:rowOff>
    </xdr:to>
    <xdr:pic>
      <xdr:nvPicPr>
        <xdr:cNvPr id="2" name="תמונה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33508134" y="4414449"/>
          <a:ext cx="2178316" cy="15459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210818</xdr:colOff>
      <xdr:row>13</xdr:row>
      <xdr:rowOff>76200</xdr:rowOff>
    </xdr:from>
    <xdr:to>
      <xdr:col>11</xdr:col>
      <xdr:colOff>567612</xdr:colOff>
      <xdr:row>29</xdr:row>
      <xdr:rowOff>0</xdr:rowOff>
    </xdr:to>
    <xdr:pic>
      <xdr:nvPicPr>
        <xdr:cNvPr id="15" name="תמונה 2" descr="fl_c17211111.jpg">
          <a:extLst>
            <a:ext uri="{FF2B5EF4-FFF2-40B4-BE49-F238E27FC236}">
              <a16:creationId xmlns:a16="http://schemas.microsoft.com/office/drawing/2014/main" xmlns="" id="{00000000-0008-0000-0A00-00000F000000}"/>
            </a:ext>
          </a:extLst>
        </xdr:cNvPr>
        <xdr:cNvPicPr>
          <a:picLocks noChangeAspect="1"/>
        </xdr:cNvPicPr>
      </xdr:nvPicPr>
      <xdr:blipFill>
        <a:blip xmlns:r="http://schemas.openxmlformats.org/officeDocument/2006/relationships" r:embed="rId1" cstate="print"/>
        <a:stretch>
          <a:fillRect/>
        </a:stretch>
      </xdr:blipFill>
      <xdr:spPr>
        <a:xfrm>
          <a:off x="11229169263" y="2676525"/>
          <a:ext cx="3585769" cy="2819400"/>
        </a:xfrm>
        <a:prstGeom prst="rect">
          <a:avLst/>
        </a:prstGeom>
        <a:noFill/>
        <a:ln>
          <a:noFill/>
        </a:ln>
      </xdr:spPr>
    </xdr:pic>
    <xdr:clientData/>
  </xdr:twoCellAnchor>
  <xdr:twoCellAnchor>
    <xdr:from>
      <xdr:col>5</xdr:col>
      <xdr:colOff>1790700</xdr:colOff>
      <xdr:row>18</xdr:row>
      <xdr:rowOff>180976</xdr:rowOff>
    </xdr:from>
    <xdr:to>
      <xdr:col>6</xdr:col>
      <xdr:colOff>428625</xdr:colOff>
      <xdr:row>20</xdr:row>
      <xdr:rowOff>95250</xdr:rowOff>
    </xdr:to>
    <xdr:sp macro="" textlink="$J$4">
      <xdr:nvSpPr>
        <xdr:cNvPr id="17" name="TextBox 16">
          <a:extLst>
            <a:ext uri="{FF2B5EF4-FFF2-40B4-BE49-F238E27FC236}">
              <a16:creationId xmlns:a16="http://schemas.microsoft.com/office/drawing/2014/main" xmlns="" id="{00000000-0008-0000-0A00-000011000000}"/>
            </a:ext>
          </a:extLst>
        </xdr:cNvPr>
        <xdr:cNvSpPr txBox="1"/>
      </xdr:nvSpPr>
      <xdr:spPr>
        <a:xfrm>
          <a:off x="11230679850" y="3714751"/>
          <a:ext cx="495300" cy="285749"/>
        </a:xfrm>
        <a:prstGeom prst="rect">
          <a:avLst/>
        </a:prstGeom>
        <a:solidFill>
          <a:schemeClr val="accent4">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A16A665-469A-4A49-96A6-C1CEE2543FE1}" type="TxLink">
            <a:rPr lang="he-IL" sz="1400" b="0" i="0" u="none" strike="noStrike">
              <a:solidFill>
                <a:srgbClr val="000000"/>
              </a:solidFill>
              <a:latin typeface="+mn-lt"/>
              <a:cs typeface="Arial"/>
            </a:rPr>
            <a:pPr algn="ctr" rtl="1"/>
            <a:t>0</a:t>
          </a:fld>
          <a:endParaRPr lang="he-IL" sz="1400">
            <a:latin typeface="+mn-lt"/>
          </a:endParaRPr>
        </a:p>
      </xdr:txBody>
    </xdr:sp>
    <xdr:clientData/>
  </xdr:twoCellAnchor>
  <xdr:twoCellAnchor>
    <xdr:from>
      <xdr:col>5</xdr:col>
      <xdr:colOff>1781175</xdr:colOff>
      <xdr:row>16</xdr:row>
      <xdr:rowOff>161925</xdr:rowOff>
    </xdr:from>
    <xdr:to>
      <xdr:col>6</xdr:col>
      <xdr:colOff>428625</xdr:colOff>
      <xdr:row>18</xdr:row>
      <xdr:rowOff>76200</xdr:rowOff>
    </xdr:to>
    <xdr:sp macro="" textlink="$J$2">
      <xdr:nvSpPr>
        <xdr:cNvPr id="18" name="TextBox 17">
          <a:extLst>
            <a:ext uri="{FF2B5EF4-FFF2-40B4-BE49-F238E27FC236}">
              <a16:creationId xmlns:a16="http://schemas.microsoft.com/office/drawing/2014/main" xmlns="" id="{00000000-0008-0000-0A00-000012000000}"/>
            </a:ext>
          </a:extLst>
        </xdr:cNvPr>
        <xdr:cNvSpPr txBox="1"/>
      </xdr:nvSpPr>
      <xdr:spPr>
        <a:xfrm>
          <a:off x="11230679850" y="3314700"/>
          <a:ext cx="504825" cy="295275"/>
        </a:xfrm>
        <a:prstGeom prst="rect">
          <a:avLst/>
        </a:prstGeom>
        <a:solidFill>
          <a:schemeClr val="accent5">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2C2973A7-C1BC-4C73-AFA9-3F95A78641FE}" type="TxLink">
            <a:rPr lang="he-IL" sz="1400" b="0" i="0" u="none" strike="noStrike">
              <a:solidFill>
                <a:srgbClr val="000000"/>
              </a:solidFill>
              <a:latin typeface="Arial"/>
              <a:cs typeface="Arial"/>
            </a:rPr>
            <a:pPr algn="ctr" rtl="1"/>
            <a:t>385</a:t>
          </a:fld>
          <a:endParaRPr lang="he-IL" sz="1400"/>
        </a:p>
      </xdr:txBody>
    </xdr:sp>
    <xdr:clientData/>
  </xdr:twoCellAnchor>
  <xdr:twoCellAnchor>
    <xdr:from>
      <xdr:col>5</xdr:col>
      <xdr:colOff>1800225</xdr:colOff>
      <xdr:row>21</xdr:row>
      <xdr:rowOff>57151</xdr:rowOff>
    </xdr:from>
    <xdr:to>
      <xdr:col>6</xdr:col>
      <xdr:colOff>390525</xdr:colOff>
      <xdr:row>22</xdr:row>
      <xdr:rowOff>161926</xdr:rowOff>
    </xdr:to>
    <xdr:sp macro="" textlink="$B$7">
      <xdr:nvSpPr>
        <xdr:cNvPr id="19" name="TextBox 18">
          <a:extLst>
            <a:ext uri="{FF2B5EF4-FFF2-40B4-BE49-F238E27FC236}">
              <a16:creationId xmlns:a16="http://schemas.microsoft.com/office/drawing/2014/main" xmlns="" id="{00000000-0008-0000-0A00-000013000000}"/>
            </a:ext>
          </a:extLst>
        </xdr:cNvPr>
        <xdr:cNvSpPr txBox="1"/>
      </xdr:nvSpPr>
      <xdr:spPr>
        <a:xfrm>
          <a:off x="11230717950" y="4143376"/>
          <a:ext cx="447675" cy="295275"/>
        </a:xfrm>
        <a:prstGeom prst="rect">
          <a:avLst/>
        </a:prstGeom>
        <a:solidFill>
          <a:schemeClr val="accent2">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4F785C29-7158-4BB2-9BAF-7A24FC395EA2}" type="TxLink">
            <a:rPr lang="he-IL" sz="1400" b="0" i="0" u="none" strike="noStrike">
              <a:solidFill>
                <a:srgbClr val="000000"/>
              </a:solidFill>
              <a:latin typeface="+mn-lt"/>
              <a:cs typeface="Arial"/>
            </a:rPr>
            <a:pPr algn="ctr" rtl="1"/>
            <a:t> </a:t>
          </a:fld>
          <a:endParaRPr lang="he-IL" sz="1400">
            <a:latin typeface="+mn-lt"/>
          </a:endParaRPr>
        </a:p>
      </xdr:txBody>
    </xdr:sp>
    <xdr:clientData/>
  </xdr:twoCellAnchor>
  <xdr:twoCellAnchor>
    <xdr:from>
      <xdr:col>5</xdr:col>
      <xdr:colOff>1790700</xdr:colOff>
      <xdr:row>23</xdr:row>
      <xdr:rowOff>47626</xdr:rowOff>
    </xdr:from>
    <xdr:to>
      <xdr:col>6</xdr:col>
      <xdr:colOff>381000</xdr:colOff>
      <xdr:row>24</xdr:row>
      <xdr:rowOff>152401</xdr:rowOff>
    </xdr:to>
    <xdr:sp macro="" textlink="$B$8">
      <xdr:nvSpPr>
        <xdr:cNvPr id="20" name="TextBox 19">
          <a:extLst>
            <a:ext uri="{FF2B5EF4-FFF2-40B4-BE49-F238E27FC236}">
              <a16:creationId xmlns:a16="http://schemas.microsoft.com/office/drawing/2014/main" xmlns="" id="{00000000-0008-0000-0A00-000014000000}"/>
            </a:ext>
          </a:extLst>
        </xdr:cNvPr>
        <xdr:cNvSpPr txBox="1"/>
      </xdr:nvSpPr>
      <xdr:spPr>
        <a:xfrm>
          <a:off x="11230727475" y="4505326"/>
          <a:ext cx="447675" cy="285750"/>
        </a:xfrm>
        <a:prstGeom prst="rect">
          <a:avLst/>
        </a:prstGeom>
        <a:solidFill>
          <a:schemeClr val="bg2">
            <a:lumMod val="75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5B93511B-02D6-4A86-9B5E-5F03F29C442D}" type="TxLink">
            <a:rPr lang="he-IL" sz="1400" b="0" i="0" u="none" strike="noStrike">
              <a:solidFill>
                <a:srgbClr val="000000"/>
              </a:solidFill>
              <a:latin typeface="+mn-lt"/>
              <a:cs typeface="Arial"/>
            </a:rPr>
            <a:pPr algn="ctr" rtl="1"/>
            <a:t> </a:t>
          </a:fld>
          <a:endParaRPr lang="he-IL" sz="1400">
            <a:latin typeface="+mn-lt"/>
          </a:endParaRPr>
        </a:p>
      </xdr:txBody>
    </xdr:sp>
    <xdr:clientData/>
  </xdr:twoCellAnchor>
  <xdr:twoCellAnchor>
    <xdr:from>
      <xdr:col>7</xdr:col>
      <xdr:colOff>495300</xdr:colOff>
      <xdr:row>17</xdr:row>
      <xdr:rowOff>142876</xdr:rowOff>
    </xdr:from>
    <xdr:to>
      <xdr:col>11</xdr:col>
      <xdr:colOff>352425</xdr:colOff>
      <xdr:row>19</xdr:row>
      <xdr:rowOff>57151</xdr:rowOff>
    </xdr:to>
    <xdr:sp macro="" textlink="$J$6">
      <xdr:nvSpPr>
        <xdr:cNvPr id="21" name="TextBox 20">
          <a:extLst>
            <a:ext uri="{FF2B5EF4-FFF2-40B4-BE49-F238E27FC236}">
              <a16:creationId xmlns:a16="http://schemas.microsoft.com/office/drawing/2014/main" xmlns="" id="{00000000-0008-0000-0A00-000015000000}"/>
            </a:ext>
          </a:extLst>
        </xdr:cNvPr>
        <xdr:cNvSpPr txBox="1"/>
      </xdr:nvSpPr>
      <xdr:spPr>
        <a:xfrm>
          <a:off x="11229384450" y="3486151"/>
          <a:ext cx="54292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EAEE5080-0849-4044-AE0D-67ADDEE83B3D}" type="TxLink">
            <a:rPr lang="he-IL" sz="1400" b="0" i="0" u="none" strike="noStrike">
              <a:solidFill>
                <a:srgbClr val="000000"/>
              </a:solidFill>
              <a:latin typeface="+mn-lt"/>
              <a:cs typeface="Arial"/>
            </a:rPr>
            <a:pPr algn="ctr" rtl="1"/>
            <a:t>20.0</a:t>
          </a:fld>
          <a:endParaRPr lang="he-IL" sz="1400">
            <a:latin typeface="+mn-lt"/>
          </a:endParaRPr>
        </a:p>
      </xdr:txBody>
    </xdr:sp>
    <xdr:clientData/>
  </xdr:twoCellAnchor>
  <xdr:twoCellAnchor>
    <xdr:from>
      <xdr:col>5</xdr:col>
      <xdr:colOff>1714500</xdr:colOff>
      <xdr:row>14</xdr:row>
      <xdr:rowOff>38100</xdr:rowOff>
    </xdr:from>
    <xdr:to>
      <xdr:col>6</xdr:col>
      <xdr:colOff>476250</xdr:colOff>
      <xdr:row>15</xdr:row>
      <xdr:rowOff>123825</xdr:rowOff>
    </xdr:to>
    <xdr:sp macro="" textlink="$B$2">
      <xdr:nvSpPr>
        <xdr:cNvPr id="22" name="TextBox 21">
          <a:extLst>
            <a:ext uri="{FF2B5EF4-FFF2-40B4-BE49-F238E27FC236}">
              <a16:creationId xmlns:a16="http://schemas.microsoft.com/office/drawing/2014/main" xmlns="" id="{00000000-0008-0000-0A00-000016000000}"/>
            </a:ext>
          </a:extLst>
        </xdr:cNvPr>
        <xdr:cNvSpPr txBox="1"/>
      </xdr:nvSpPr>
      <xdr:spPr>
        <a:xfrm>
          <a:off x="11230632225" y="2819400"/>
          <a:ext cx="619125" cy="266700"/>
        </a:xfrm>
        <a:prstGeom prst="rect">
          <a:avLst/>
        </a:prstGeom>
        <a:solidFill>
          <a:schemeClr val="accent6">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a:fld id="{D47183DB-A5DE-49A0-91C6-15CB42E59586}" type="TxLink">
            <a:rPr lang="he-IL" sz="1400" b="1" i="0" u="none" strike="noStrike">
              <a:solidFill>
                <a:srgbClr val="000000"/>
              </a:solidFill>
              <a:latin typeface="+mn-lt"/>
              <a:cs typeface="Arial"/>
            </a:rPr>
            <a:pPr algn="ctr"/>
            <a:t>1500</a:t>
          </a:fld>
          <a:endParaRPr lang="en-US" sz="1400" b="1">
            <a:latin typeface="+mn-lt"/>
          </a:endParaRPr>
        </a:p>
      </xdr:txBody>
    </xdr:sp>
    <xdr:clientData/>
  </xdr:twoCellAnchor>
  <xdr:twoCellAnchor>
    <xdr:from>
      <xdr:col>5</xdr:col>
      <xdr:colOff>438150</xdr:colOff>
      <xdr:row>17</xdr:row>
      <xdr:rowOff>133351</xdr:rowOff>
    </xdr:from>
    <xdr:to>
      <xdr:col>5</xdr:col>
      <xdr:colOff>971550</xdr:colOff>
      <xdr:row>19</xdr:row>
      <xdr:rowOff>47626</xdr:rowOff>
    </xdr:to>
    <xdr:sp macro="" textlink="$J$6">
      <xdr:nvSpPr>
        <xdr:cNvPr id="23" name="TextBox 22">
          <a:extLst>
            <a:ext uri="{FF2B5EF4-FFF2-40B4-BE49-F238E27FC236}">
              <a16:creationId xmlns:a16="http://schemas.microsoft.com/office/drawing/2014/main" xmlns="" id="{00000000-0008-0000-0A00-000017000000}"/>
            </a:ext>
          </a:extLst>
        </xdr:cNvPr>
        <xdr:cNvSpPr txBox="1"/>
      </xdr:nvSpPr>
      <xdr:spPr>
        <a:xfrm>
          <a:off x="11231994300" y="3476626"/>
          <a:ext cx="533400"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1D2B9F4C-67F9-485F-B9A3-AB46934ABC1B}" type="TxLink">
            <a:rPr lang="he-IL" sz="1400" b="0" i="0" u="none" strike="noStrike">
              <a:solidFill>
                <a:srgbClr val="000000"/>
              </a:solidFill>
              <a:latin typeface="+mn-lt"/>
              <a:cs typeface="Arial"/>
            </a:rPr>
            <a:pPr algn="ctr" rtl="1"/>
            <a:t>20.0</a:t>
          </a:fld>
          <a:endParaRPr lang="he-IL" sz="1400">
            <a:latin typeface="+mn-lt"/>
          </a:endParaRPr>
        </a:p>
      </xdr:txBody>
    </xdr:sp>
    <xdr:clientData/>
  </xdr:twoCellAnchor>
  <xdr:twoCellAnchor>
    <xdr:from>
      <xdr:col>2</xdr:col>
      <xdr:colOff>200024</xdr:colOff>
      <xdr:row>10</xdr:row>
      <xdr:rowOff>19050</xdr:rowOff>
    </xdr:from>
    <xdr:to>
      <xdr:col>6</xdr:col>
      <xdr:colOff>533399</xdr:colOff>
      <xdr:row>13</xdr:row>
      <xdr:rowOff>28574</xdr:rowOff>
    </xdr:to>
    <xdr:sp macro="" textlink="">
      <xdr:nvSpPr>
        <xdr:cNvPr id="25" name="TextBox 24">
          <a:extLst>
            <a:ext uri="{FF2B5EF4-FFF2-40B4-BE49-F238E27FC236}">
              <a16:creationId xmlns:a16="http://schemas.microsoft.com/office/drawing/2014/main" xmlns="" id="{00000000-0008-0000-0A00-000019000000}"/>
            </a:ext>
          </a:extLst>
        </xdr:cNvPr>
        <xdr:cNvSpPr txBox="1"/>
      </xdr:nvSpPr>
      <xdr:spPr>
        <a:xfrm>
          <a:off x="11230575076" y="2057400"/>
          <a:ext cx="4248150" cy="571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he-IL" sz="1100"/>
            <a:t>הצבעים המופיעים</a:t>
          </a:r>
          <a:r>
            <a:rPr lang="he-IL" sz="1100" baseline="0"/>
            <a:t> בטבלה הנ"ל משמשים כמקרא לתצוגת הצבעים והמשקלים המופיעים על איור המטוס (עם אותן יחידות משקל). למשל: משקל נוסעים אחוריים סומן בצבע סגול</a:t>
          </a:r>
          <a:endParaRPr lang="he-IL" sz="1100"/>
        </a:p>
      </xdr:txBody>
    </xdr:sp>
    <xdr:clientData/>
  </xdr:twoCellAnchor>
  <xdr:twoCellAnchor>
    <xdr:from>
      <xdr:col>4</xdr:col>
      <xdr:colOff>323850</xdr:colOff>
      <xdr:row>0</xdr:row>
      <xdr:rowOff>38100</xdr:rowOff>
    </xdr:from>
    <xdr:to>
      <xdr:col>5</xdr:col>
      <xdr:colOff>1019174</xdr:colOff>
      <xdr:row>4</xdr:row>
      <xdr:rowOff>104775</xdr:rowOff>
    </xdr:to>
    <xdr:sp macro="" textlink="">
      <xdr:nvSpPr>
        <xdr:cNvPr id="26" name="TextBox 25">
          <a:extLst>
            <a:ext uri="{FF2B5EF4-FFF2-40B4-BE49-F238E27FC236}">
              <a16:creationId xmlns:a16="http://schemas.microsoft.com/office/drawing/2014/main" xmlns="" id="{00000000-0008-0000-0A00-00001A000000}"/>
            </a:ext>
          </a:extLst>
        </xdr:cNvPr>
        <xdr:cNvSpPr txBox="1"/>
      </xdr:nvSpPr>
      <xdr:spPr>
        <a:xfrm>
          <a:off x="11231946676" y="38100"/>
          <a:ext cx="1381124" cy="866775"/>
        </a:xfrm>
        <a:prstGeom prst="rect">
          <a:avLst/>
        </a:prstGeom>
        <a:solidFill>
          <a:schemeClr val="lt1"/>
        </a:solidFill>
        <a:ln w="9525" cmpd="sng">
          <a:noFill/>
        </a:ln>
        <a:effectLst>
          <a:innerShdw blurRad="63500" dist="50800" dir="54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en-US" sz="4800"/>
            <a:t>YYY</a:t>
          </a:r>
          <a:endParaRPr lang="he-IL" sz="4800"/>
        </a:p>
      </xdr:txBody>
    </xdr:sp>
    <xdr:clientData/>
  </xdr:twoCellAnchor>
  <xdr:twoCellAnchor>
    <xdr:from>
      <xdr:col>4</xdr:col>
      <xdr:colOff>314325</xdr:colOff>
      <xdr:row>5</xdr:row>
      <xdr:rowOff>9525</xdr:rowOff>
    </xdr:from>
    <xdr:to>
      <xdr:col>5</xdr:col>
      <xdr:colOff>971550</xdr:colOff>
      <xdr:row>6</xdr:row>
      <xdr:rowOff>133350</xdr:rowOff>
    </xdr:to>
    <xdr:sp macro="" textlink="'נתוני מטוסים'!P14">
      <xdr:nvSpPr>
        <xdr:cNvPr id="27" name="TextBox 26">
          <a:extLst>
            <a:ext uri="{FF2B5EF4-FFF2-40B4-BE49-F238E27FC236}">
              <a16:creationId xmlns:a16="http://schemas.microsoft.com/office/drawing/2014/main" xmlns="" id="{00000000-0008-0000-0A00-00001B000000}"/>
            </a:ext>
          </a:extLst>
        </xdr:cNvPr>
        <xdr:cNvSpPr txBox="1"/>
      </xdr:nvSpPr>
      <xdr:spPr>
        <a:xfrm>
          <a:off x="11231994300" y="1019175"/>
          <a:ext cx="13430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528FD39-BD5C-44B9-AE38-B137D7EEAA5D}" type="TxLink">
            <a:rPr lang="he-IL" sz="1100" b="0" i="0" u="none" strike="noStrike">
              <a:solidFill>
                <a:srgbClr val="000000"/>
              </a:solidFill>
              <a:latin typeface="Arial"/>
              <a:cs typeface="Arial"/>
            </a:rPr>
            <a:pPr algn="ctr" rtl="1"/>
            <a:t>20/06/2022 11:07</a:t>
          </a:fld>
          <a:endParaRPr lang="he-IL" sz="1100"/>
        </a:p>
      </xdr:txBody>
    </xdr:sp>
    <xdr:clientData/>
  </xdr:twoCellAnchor>
  <xdr:twoCellAnchor>
    <xdr:from>
      <xdr:col>1</xdr:col>
      <xdr:colOff>19050</xdr:colOff>
      <xdr:row>14</xdr:row>
      <xdr:rowOff>9525</xdr:rowOff>
    </xdr:from>
    <xdr:to>
      <xdr:col>5</xdr:col>
      <xdr:colOff>209550</xdr:colOff>
      <xdr:row>27</xdr:row>
      <xdr:rowOff>28575</xdr:rowOff>
    </xdr:to>
    <xdr:graphicFrame macro="">
      <xdr:nvGraphicFramePr>
        <xdr:cNvPr id="28" name="תרשים 2">
          <a:extLst>
            <a:ext uri="{FF2B5EF4-FFF2-40B4-BE49-F238E27FC236}">
              <a16:creationId xmlns:a16="http://schemas.microsoft.com/office/drawing/2014/main" xmlns=""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1362075</xdr:colOff>
      <xdr:row>0</xdr:row>
      <xdr:rowOff>152400</xdr:rowOff>
    </xdr:from>
    <xdr:to>
      <xdr:col>11</xdr:col>
      <xdr:colOff>197150</xdr:colOff>
      <xdr:row>6</xdr:row>
      <xdr:rowOff>104578</xdr:rowOff>
    </xdr:to>
    <xdr:pic>
      <xdr:nvPicPr>
        <xdr:cNvPr id="16" name="תמונה 15">
          <a:extLst>
            <a:ext uri="{FF2B5EF4-FFF2-40B4-BE49-F238E27FC236}">
              <a16:creationId xmlns:a16="http://schemas.microsoft.com/office/drawing/2014/main" xmlns="" id="{00000000-0008-0000-0A00-00001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25821425" y="152400"/>
          <a:ext cx="1664000" cy="1180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200025</xdr:colOff>
      <xdr:row>1</xdr:row>
      <xdr:rowOff>118645</xdr:rowOff>
    </xdr:from>
    <xdr:to>
      <xdr:col>12</xdr:col>
      <xdr:colOff>1968763</xdr:colOff>
      <xdr:row>7</xdr:row>
      <xdr:rowOff>126103</xdr:rowOff>
    </xdr:to>
    <xdr:pic>
      <xdr:nvPicPr>
        <xdr:cNvPr id="2" name="תמונה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22030512" y="309145"/>
          <a:ext cx="1768738" cy="12552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xdr:colOff>
      <xdr:row>36</xdr:row>
      <xdr:rowOff>95251</xdr:rowOff>
    </xdr:from>
    <xdr:to>
      <xdr:col>14</xdr:col>
      <xdr:colOff>800100</xdr:colOff>
      <xdr:row>37</xdr:row>
      <xdr:rowOff>190501</xdr:rowOff>
    </xdr:to>
    <xdr:sp macro="" textlink="'נתוני מטוסים'!P14">
      <xdr:nvSpPr>
        <xdr:cNvPr id="3" name="TextBox 2">
          <a:extLst>
            <a:ext uri="{FF2B5EF4-FFF2-40B4-BE49-F238E27FC236}">
              <a16:creationId xmlns:a16="http://schemas.microsoft.com/office/drawing/2014/main" xmlns="" id="{00000000-0008-0000-0200-000003000000}"/>
            </a:ext>
          </a:extLst>
        </xdr:cNvPr>
        <xdr:cNvSpPr txBox="1"/>
      </xdr:nvSpPr>
      <xdr:spPr>
        <a:xfrm>
          <a:off x="11224660050" y="7115176"/>
          <a:ext cx="20669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528FD39-BD5C-44B9-AE38-B137D7EEAA5D}" type="TxLink">
            <a:rPr lang="he-IL" sz="1100" b="0" i="0" u="none" strike="noStrike">
              <a:solidFill>
                <a:srgbClr val="000000"/>
              </a:solidFill>
              <a:latin typeface="Arial"/>
              <a:cs typeface="Arial"/>
            </a:rPr>
            <a:pPr algn="ctr" rtl="1"/>
            <a:t>20/06/2022 11:07</a:t>
          </a:fld>
          <a:endParaRPr lang="he-IL"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210818</xdr:colOff>
      <xdr:row>13</xdr:row>
      <xdr:rowOff>76200</xdr:rowOff>
    </xdr:from>
    <xdr:to>
      <xdr:col>11</xdr:col>
      <xdr:colOff>567612</xdr:colOff>
      <xdr:row>28</xdr:row>
      <xdr:rowOff>133350</xdr:rowOff>
    </xdr:to>
    <xdr:pic>
      <xdr:nvPicPr>
        <xdr:cNvPr id="3" name="תמונה 2" descr="fl_c17211111.jp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9825450963" y="2705100"/>
          <a:ext cx="3185719" cy="2914650"/>
        </a:xfrm>
        <a:prstGeom prst="rect">
          <a:avLst/>
        </a:prstGeom>
        <a:noFill/>
        <a:ln>
          <a:noFill/>
        </a:ln>
      </xdr:spPr>
    </xdr:pic>
    <xdr:clientData/>
  </xdr:twoCellAnchor>
  <xdr:twoCellAnchor>
    <xdr:from>
      <xdr:col>1</xdr:col>
      <xdr:colOff>190500</xdr:colOff>
      <xdr:row>13</xdr:row>
      <xdr:rowOff>180974</xdr:rowOff>
    </xdr:from>
    <xdr:to>
      <xdr:col>5</xdr:col>
      <xdr:colOff>200025</xdr:colOff>
      <xdr:row>24</xdr:row>
      <xdr:rowOff>171449</xdr:rowOff>
    </xdr:to>
    <xdr:graphicFrame macro="">
      <xdr:nvGraphicFramePr>
        <xdr:cNvPr id="11" name="תרשים 10">
          <a:extLst>
            <a:ext uri="{FF2B5EF4-FFF2-40B4-BE49-F238E27FC236}">
              <a16:creationId xmlns:a16="http://schemas.microsoft.com/office/drawing/2014/main" xmlns=""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1590675</xdr:colOff>
      <xdr:row>19</xdr:row>
      <xdr:rowOff>1</xdr:rowOff>
    </xdr:from>
    <xdr:to>
      <xdr:col>6</xdr:col>
      <xdr:colOff>466725</xdr:colOff>
      <xdr:row>20</xdr:row>
      <xdr:rowOff>104775</xdr:rowOff>
    </xdr:to>
    <xdr:sp macro="" textlink="$J$4">
      <xdr:nvSpPr>
        <xdr:cNvPr id="4" name="TextBox 3">
          <a:extLst>
            <a:ext uri="{FF2B5EF4-FFF2-40B4-BE49-F238E27FC236}">
              <a16:creationId xmlns:a16="http://schemas.microsoft.com/office/drawing/2014/main" xmlns="" id="{00000000-0008-0000-0400-000004000000}"/>
            </a:ext>
          </a:extLst>
        </xdr:cNvPr>
        <xdr:cNvSpPr txBox="1"/>
      </xdr:nvSpPr>
      <xdr:spPr>
        <a:xfrm>
          <a:off x="9826752000" y="3771901"/>
          <a:ext cx="504825" cy="295274"/>
        </a:xfrm>
        <a:prstGeom prst="rect">
          <a:avLst/>
        </a:prstGeom>
        <a:solidFill>
          <a:schemeClr val="accent4">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A16A665-469A-4A49-96A6-C1CEE2543FE1}" type="TxLink">
            <a:rPr lang="he-IL" sz="1400">
              <a:latin typeface="+mn-lt"/>
            </a:rPr>
            <a:pPr algn="ctr" rtl="1"/>
            <a:t>0</a:t>
          </a:fld>
          <a:endParaRPr lang="he-IL" sz="1400">
            <a:latin typeface="+mn-lt"/>
          </a:endParaRPr>
        </a:p>
      </xdr:txBody>
    </xdr:sp>
    <xdr:clientData/>
  </xdr:twoCellAnchor>
  <xdr:twoCellAnchor>
    <xdr:from>
      <xdr:col>5</xdr:col>
      <xdr:colOff>1571625</xdr:colOff>
      <xdr:row>16</xdr:row>
      <xdr:rowOff>161925</xdr:rowOff>
    </xdr:from>
    <xdr:to>
      <xdr:col>6</xdr:col>
      <xdr:colOff>476250</xdr:colOff>
      <xdr:row>18</xdr:row>
      <xdr:rowOff>76200</xdr:rowOff>
    </xdr:to>
    <xdr:sp macro="" textlink="$J$2">
      <xdr:nvSpPr>
        <xdr:cNvPr id="5" name="TextBox 4">
          <a:extLst>
            <a:ext uri="{FF2B5EF4-FFF2-40B4-BE49-F238E27FC236}">
              <a16:creationId xmlns:a16="http://schemas.microsoft.com/office/drawing/2014/main" xmlns="" id="{00000000-0008-0000-0400-000005000000}"/>
            </a:ext>
          </a:extLst>
        </xdr:cNvPr>
        <xdr:cNvSpPr txBox="1"/>
      </xdr:nvSpPr>
      <xdr:spPr>
        <a:xfrm>
          <a:off x="9826742475" y="3362325"/>
          <a:ext cx="533400" cy="295275"/>
        </a:xfrm>
        <a:prstGeom prst="rect">
          <a:avLst/>
        </a:prstGeom>
        <a:solidFill>
          <a:schemeClr val="accent5">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2C2973A7-C1BC-4C73-AFA9-3F95A78641FE}" type="TxLink">
            <a:rPr lang="he-IL" sz="1400"/>
            <a:pPr algn="ctr" rtl="1"/>
            <a:t>336</a:t>
          </a:fld>
          <a:endParaRPr lang="he-IL" sz="1400"/>
        </a:p>
      </xdr:txBody>
    </xdr:sp>
    <xdr:clientData/>
  </xdr:twoCellAnchor>
  <xdr:twoCellAnchor>
    <xdr:from>
      <xdr:col>5</xdr:col>
      <xdr:colOff>1571625</xdr:colOff>
      <xdr:row>21</xdr:row>
      <xdr:rowOff>38101</xdr:rowOff>
    </xdr:from>
    <xdr:to>
      <xdr:col>6</xdr:col>
      <xdr:colOff>457200</xdr:colOff>
      <xdr:row>22</xdr:row>
      <xdr:rowOff>142876</xdr:rowOff>
    </xdr:to>
    <xdr:sp macro="" textlink="$B$7">
      <xdr:nvSpPr>
        <xdr:cNvPr id="7" name="TextBox 6">
          <a:extLst>
            <a:ext uri="{FF2B5EF4-FFF2-40B4-BE49-F238E27FC236}">
              <a16:creationId xmlns:a16="http://schemas.microsoft.com/office/drawing/2014/main" xmlns="" id="{00000000-0008-0000-0400-000007000000}"/>
            </a:ext>
          </a:extLst>
        </xdr:cNvPr>
        <xdr:cNvSpPr txBox="1"/>
      </xdr:nvSpPr>
      <xdr:spPr>
        <a:xfrm>
          <a:off x="9826761525" y="4191001"/>
          <a:ext cx="514350" cy="295275"/>
        </a:xfrm>
        <a:prstGeom prst="rect">
          <a:avLst/>
        </a:prstGeom>
        <a:solidFill>
          <a:schemeClr val="accent2">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4F785C29-7158-4BB2-9BAF-7A24FC395EA2}" type="TxLink">
            <a:rPr lang="he-IL" sz="1400">
              <a:latin typeface="+mn-lt"/>
            </a:rPr>
            <a:pPr algn="ctr" rtl="1"/>
            <a:t>0</a:t>
          </a:fld>
          <a:endParaRPr lang="he-IL" sz="1400">
            <a:latin typeface="+mn-lt"/>
          </a:endParaRPr>
        </a:p>
      </xdr:txBody>
    </xdr:sp>
    <xdr:clientData/>
  </xdr:twoCellAnchor>
  <xdr:twoCellAnchor>
    <xdr:from>
      <xdr:col>5</xdr:col>
      <xdr:colOff>1571625</xdr:colOff>
      <xdr:row>23</xdr:row>
      <xdr:rowOff>47626</xdr:rowOff>
    </xdr:from>
    <xdr:to>
      <xdr:col>6</xdr:col>
      <xdr:colOff>438150</xdr:colOff>
      <xdr:row>24</xdr:row>
      <xdr:rowOff>152401</xdr:rowOff>
    </xdr:to>
    <xdr:sp macro="" textlink="$B$8">
      <xdr:nvSpPr>
        <xdr:cNvPr id="8" name="TextBox 7">
          <a:extLst>
            <a:ext uri="{FF2B5EF4-FFF2-40B4-BE49-F238E27FC236}">
              <a16:creationId xmlns:a16="http://schemas.microsoft.com/office/drawing/2014/main" xmlns="" id="{00000000-0008-0000-0400-000008000000}"/>
            </a:ext>
          </a:extLst>
        </xdr:cNvPr>
        <xdr:cNvSpPr txBox="1"/>
      </xdr:nvSpPr>
      <xdr:spPr>
        <a:xfrm>
          <a:off x="9826780575" y="4581526"/>
          <a:ext cx="495300" cy="295275"/>
        </a:xfrm>
        <a:prstGeom prst="rect">
          <a:avLst/>
        </a:prstGeom>
        <a:solidFill>
          <a:schemeClr val="bg2">
            <a:lumMod val="75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5B93511B-02D6-4A86-9B5E-5F03F29C442D}" type="TxLink">
            <a:rPr lang="he-IL" sz="1400">
              <a:latin typeface="+mn-lt"/>
            </a:rPr>
            <a:pPr algn="ctr" rtl="1"/>
            <a:t>0</a:t>
          </a:fld>
          <a:endParaRPr lang="he-IL" sz="1400">
            <a:latin typeface="+mn-lt"/>
          </a:endParaRPr>
        </a:p>
      </xdr:txBody>
    </xdr:sp>
    <xdr:clientData/>
  </xdr:twoCellAnchor>
  <xdr:twoCellAnchor>
    <xdr:from>
      <xdr:col>7</xdr:col>
      <xdr:colOff>409576</xdr:colOff>
      <xdr:row>17</xdr:row>
      <xdr:rowOff>142876</xdr:rowOff>
    </xdr:from>
    <xdr:to>
      <xdr:col>11</xdr:col>
      <xdr:colOff>390526</xdr:colOff>
      <xdr:row>19</xdr:row>
      <xdr:rowOff>57151</xdr:rowOff>
    </xdr:to>
    <xdr:sp macro="" textlink="$J$6">
      <xdr:nvSpPr>
        <xdr:cNvPr id="9" name="TextBox 8">
          <a:extLst>
            <a:ext uri="{FF2B5EF4-FFF2-40B4-BE49-F238E27FC236}">
              <a16:creationId xmlns:a16="http://schemas.microsoft.com/office/drawing/2014/main" xmlns="" id="{00000000-0008-0000-0400-000009000000}"/>
            </a:ext>
          </a:extLst>
        </xdr:cNvPr>
        <xdr:cNvSpPr txBox="1"/>
      </xdr:nvSpPr>
      <xdr:spPr>
        <a:xfrm>
          <a:off x="9825628049" y="3533776"/>
          <a:ext cx="58102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EAEE5080-0849-4044-AE0D-67ADDEE83B3D}" type="TxLink">
            <a:rPr lang="he-IL" sz="1400">
              <a:latin typeface="+mn-lt"/>
            </a:rPr>
            <a:pPr algn="ctr" rtl="1"/>
            <a:t>22.5</a:t>
          </a:fld>
          <a:endParaRPr lang="he-IL" sz="1400">
            <a:latin typeface="+mn-lt"/>
          </a:endParaRPr>
        </a:p>
      </xdr:txBody>
    </xdr:sp>
    <xdr:clientData/>
  </xdr:twoCellAnchor>
  <xdr:twoCellAnchor>
    <xdr:from>
      <xdr:col>5</xdr:col>
      <xdr:colOff>1533526</xdr:colOff>
      <xdr:row>14</xdr:row>
      <xdr:rowOff>38100</xdr:rowOff>
    </xdr:from>
    <xdr:to>
      <xdr:col>6</xdr:col>
      <xdr:colOff>504826</xdr:colOff>
      <xdr:row>15</xdr:row>
      <xdr:rowOff>123825</xdr:rowOff>
    </xdr:to>
    <xdr:sp macro="" textlink="$B$2">
      <xdr:nvSpPr>
        <xdr:cNvPr id="10" name="TextBox 9">
          <a:extLst>
            <a:ext uri="{FF2B5EF4-FFF2-40B4-BE49-F238E27FC236}">
              <a16:creationId xmlns:a16="http://schemas.microsoft.com/office/drawing/2014/main" xmlns="" id="{00000000-0008-0000-0400-00000A000000}"/>
            </a:ext>
          </a:extLst>
        </xdr:cNvPr>
        <xdr:cNvSpPr txBox="1"/>
      </xdr:nvSpPr>
      <xdr:spPr>
        <a:xfrm>
          <a:off x="9826713899" y="2857500"/>
          <a:ext cx="600075" cy="276225"/>
        </a:xfrm>
        <a:prstGeom prst="rect">
          <a:avLst/>
        </a:prstGeom>
        <a:solidFill>
          <a:schemeClr val="accent6">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a:fld id="{D47183DB-A5DE-49A0-91C6-15CB42E59586}" type="TxLink">
            <a:rPr lang="he-IL" sz="1400" b="1">
              <a:latin typeface="+mn-lt"/>
            </a:rPr>
            <a:pPr algn="ctr"/>
            <a:t>1477</a:t>
          </a:fld>
          <a:endParaRPr lang="en-US" sz="1400" b="1">
            <a:latin typeface="+mn-lt"/>
          </a:endParaRPr>
        </a:p>
      </xdr:txBody>
    </xdr:sp>
    <xdr:clientData/>
  </xdr:twoCellAnchor>
  <xdr:twoCellAnchor>
    <xdr:from>
      <xdr:col>5</xdr:col>
      <xdr:colOff>390525</xdr:colOff>
      <xdr:row>17</xdr:row>
      <xdr:rowOff>133351</xdr:rowOff>
    </xdr:from>
    <xdr:to>
      <xdr:col>5</xdr:col>
      <xdr:colOff>1009650</xdr:colOff>
      <xdr:row>19</xdr:row>
      <xdr:rowOff>47626</xdr:rowOff>
    </xdr:to>
    <xdr:sp macro="" textlink="$J$6">
      <xdr:nvSpPr>
        <xdr:cNvPr id="19" name="TextBox 18">
          <a:extLst>
            <a:ext uri="{FF2B5EF4-FFF2-40B4-BE49-F238E27FC236}">
              <a16:creationId xmlns:a16="http://schemas.microsoft.com/office/drawing/2014/main" xmlns="" id="{00000000-0008-0000-0400-000013000000}"/>
            </a:ext>
          </a:extLst>
        </xdr:cNvPr>
        <xdr:cNvSpPr txBox="1"/>
      </xdr:nvSpPr>
      <xdr:spPr>
        <a:xfrm>
          <a:off x="9827837850" y="3524251"/>
          <a:ext cx="61912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1D2B9F4C-67F9-485F-B9A3-AB46934ABC1B}" type="TxLink">
            <a:rPr lang="he-IL" sz="1400">
              <a:latin typeface="+mn-lt"/>
            </a:rPr>
            <a:pPr algn="ctr" rtl="1"/>
            <a:t>22.5</a:t>
          </a:fld>
          <a:endParaRPr lang="he-IL" sz="1400">
            <a:latin typeface="+mn-lt"/>
          </a:endParaRPr>
        </a:p>
      </xdr:txBody>
    </xdr:sp>
    <xdr:clientData/>
  </xdr:twoCellAnchor>
  <xdr:twoCellAnchor editAs="oneCell">
    <xdr:from>
      <xdr:col>5</xdr:col>
      <xdr:colOff>1171575</xdr:colOff>
      <xdr:row>1</xdr:row>
      <xdr:rowOff>34302</xdr:rowOff>
    </xdr:from>
    <xdr:to>
      <xdr:col>11</xdr:col>
      <xdr:colOff>280711</xdr:colOff>
      <xdr:row>7</xdr:row>
      <xdr:rowOff>161924</xdr:rowOff>
    </xdr:to>
    <xdr:pic>
      <xdr:nvPicPr>
        <xdr:cNvPr id="20" name="תמונה 19">
          <a:extLst>
            <a:ext uri="{FF2B5EF4-FFF2-40B4-BE49-F238E27FC236}">
              <a16:creationId xmlns:a16="http://schemas.microsoft.com/office/drawing/2014/main" xmlns="" id="{00000000-0008-0000-04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25737864" y="224802"/>
          <a:ext cx="1938061" cy="1375397"/>
        </a:xfrm>
        <a:prstGeom prst="rect">
          <a:avLst/>
        </a:prstGeom>
      </xdr:spPr>
    </xdr:pic>
    <xdr:clientData/>
  </xdr:twoCellAnchor>
  <xdr:twoCellAnchor>
    <xdr:from>
      <xdr:col>2</xdr:col>
      <xdr:colOff>200024</xdr:colOff>
      <xdr:row>10</xdr:row>
      <xdr:rowOff>19050</xdr:rowOff>
    </xdr:from>
    <xdr:to>
      <xdr:col>6</xdr:col>
      <xdr:colOff>533399</xdr:colOff>
      <xdr:row>13</xdr:row>
      <xdr:rowOff>28574</xdr:rowOff>
    </xdr:to>
    <xdr:sp macro="" textlink="">
      <xdr:nvSpPr>
        <xdr:cNvPr id="23" name="TextBox 22">
          <a:extLst>
            <a:ext uri="{FF2B5EF4-FFF2-40B4-BE49-F238E27FC236}">
              <a16:creationId xmlns:a16="http://schemas.microsoft.com/office/drawing/2014/main" xmlns="" id="{00000000-0008-0000-0400-000017000000}"/>
            </a:ext>
          </a:extLst>
        </xdr:cNvPr>
        <xdr:cNvSpPr txBox="1"/>
      </xdr:nvSpPr>
      <xdr:spPr>
        <a:xfrm>
          <a:off x="11230575076" y="2057400"/>
          <a:ext cx="4248150" cy="571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he-IL" sz="1100"/>
            <a:t>הצבעים המופיעים</a:t>
          </a:r>
          <a:r>
            <a:rPr lang="he-IL" sz="1100" baseline="0"/>
            <a:t> בטבלה הנ"ל משמשים כמקרא לתצוגת הצבעים והמשקלים המופיעים על איור המטוס (עם אותן יחידות משקל). למשל: משקל נוסעים אחוריים סומן בצבע סגול</a:t>
          </a:r>
          <a:endParaRPr lang="he-IL" sz="1100"/>
        </a:p>
      </xdr:txBody>
    </xdr:sp>
    <xdr:clientData/>
  </xdr:twoCellAnchor>
  <xdr:twoCellAnchor>
    <xdr:from>
      <xdr:col>4</xdr:col>
      <xdr:colOff>161925</xdr:colOff>
      <xdr:row>0</xdr:row>
      <xdr:rowOff>38099</xdr:rowOff>
    </xdr:from>
    <xdr:to>
      <xdr:col>5</xdr:col>
      <xdr:colOff>914400</xdr:colOff>
      <xdr:row>4</xdr:row>
      <xdr:rowOff>171449</xdr:rowOff>
    </xdr:to>
    <xdr:sp macro="" textlink="">
      <xdr:nvSpPr>
        <xdr:cNvPr id="15" name="TextBox 14">
          <a:extLst>
            <a:ext uri="{FF2B5EF4-FFF2-40B4-BE49-F238E27FC236}">
              <a16:creationId xmlns:a16="http://schemas.microsoft.com/office/drawing/2014/main" xmlns="" id="{00000000-0008-0000-0400-00000F000000}"/>
            </a:ext>
          </a:extLst>
        </xdr:cNvPr>
        <xdr:cNvSpPr txBox="1"/>
      </xdr:nvSpPr>
      <xdr:spPr>
        <a:xfrm>
          <a:off x="9827933100" y="38099"/>
          <a:ext cx="1352550" cy="942975"/>
        </a:xfrm>
        <a:prstGeom prst="rect">
          <a:avLst/>
        </a:prstGeom>
        <a:solidFill>
          <a:schemeClr val="lt1"/>
        </a:solidFill>
        <a:ln w="9525" cmpd="sng">
          <a:noFill/>
        </a:ln>
        <a:effectLst>
          <a:innerShdw blurRad="63500" dist="50800" dir="54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en-US" sz="4800"/>
            <a:t>CHV</a:t>
          </a:r>
          <a:endParaRPr lang="he-IL" sz="4800"/>
        </a:p>
      </xdr:txBody>
    </xdr:sp>
    <xdr:clientData/>
  </xdr:twoCellAnchor>
  <xdr:twoCellAnchor>
    <xdr:from>
      <xdr:col>4</xdr:col>
      <xdr:colOff>180975</xdr:colOff>
      <xdr:row>5</xdr:row>
      <xdr:rowOff>85725</xdr:rowOff>
    </xdr:from>
    <xdr:to>
      <xdr:col>5</xdr:col>
      <xdr:colOff>838200</xdr:colOff>
      <xdr:row>7</xdr:row>
      <xdr:rowOff>104775</xdr:rowOff>
    </xdr:to>
    <xdr:sp macro="" textlink="'נתוני מטוסים'!P14">
      <xdr:nvSpPr>
        <xdr:cNvPr id="14" name="TextBox 13">
          <a:extLst>
            <a:ext uri="{FF2B5EF4-FFF2-40B4-BE49-F238E27FC236}">
              <a16:creationId xmlns:a16="http://schemas.microsoft.com/office/drawing/2014/main" xmlns="" id="{00000000-0008-0000-0400-00000E000000}"/>
            </a:ext>
          </a:extLst>
        </xdr:cNvPr>
        <xdr:cNvSpPr txBox="1"/>
      </xdr:nvSpPr>
      <xdr:spPr>
        <a:xfrm>
          <a:off x="9828009300" y="1104900"/>
          <a:ext cx="1257300"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528FD39-BD5C-44B9-AE38-B137D7EEAA5D}" type="TxLink">
            <a:rPr lang="he-IL" sz="1100" b="0" i="0" u="none" strike="noStrike">
              <a:solidFill>
                <a:srgbClr val="000000"/>
              </a:solidFill>
              <a:latin typeface="Arial"/>
              <a:cs typeface="Arial"/>
            </a:rPr>
            <a:pPr algn="ctr" rtl="1"/>
            <a:t>20/06/2022 11:07</a:t>
          </a:fld>
          <a:endParaRPr lang="he-IL"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266700</xdr:colOff>
      <xdr:row>13</xdr:row>
      <xdr:rowOff>114300</xdr:rowOff>
    </xdr:from>
    <xdr:to>
      <xdr:col>11</xdr:col>
      <xdr:colOff>4369</xdr:colOff>
      <xdr:row>28</xdr:row>
      <xdr:rowOff>171450</xdr:rowOff>
    </xdr:to>
    <xdr:pic>
      <xdr:nvPicPr>
        <xdr:cNvPr id="17" name="תמונה 16" descr="fl_c17211111.jpg">
          <a:extLst>
            <a:ext uri="{FF2B5EF4-FFF2-40B4-BE49-F238E27FC236}">
              <a16:creationId xmlns:a16="http://schemas.microsoft.com/office/drawing/2014/main" xmlns="" id="{00000000-0008-0000-0500-000011000000}"/>
            </a:ext>
          </a:extLst>
        </xdr:cNvPr>
        <xdr:cNvPicPr>
          <a:picLocks noChangeAspect="1"/>
        </xdr:cNvPicPr>
      </xdr:nvPicPr>
      <xdr:blipFill>
        <a:blip xmlns:r="http://schemas.openxmlformats.org/officeDocument/2006/relationships" r:embed="rId1" cstate="print"/>
        <a:stretch>
          <a:fillRect/>
        </a:stretch>
      </xdr:blipFill>
      <xdr:spPr>
        <a:xfrm>
          <a:off x="11229799181" y="2714625"/>
          <a:ext cx="3585769" cy="2819400"/>
        </a:xfrm>
        <a:prstGeom prst="rect">
          <a:avLst/>
        </a:prstGeom>
        <a:noFill/>
        <a:ln>
          <a:noFill/>
        </a:ln>
      </xdr:spPr>
    </xdr:pic>
    <xdr:clientData/>
  </xdr:twoCellAnchor>
  <xdr:twoCellAnchor>
    <xdr:from>
      <xdr:col>1</xdr:col>
      <xdr:colOff>161925</xdr:colOff>
      <xdr:row>13</xdr:row>
      <xdr:rowOff>171450</xdr:rowOff>
    </xdr:from>
    <xdr:to>
      <xdr:col>5</xdr:col>
      <xdr:colOff>209551</xdr:colOff>
      <xdr:row>25</xdr:row>
      <xdr:rowOff>85725</xdr:rowOff>
    </xdr:to>
    <xdr:graphicFrame macro="">
      <xdr:nvGraphicFramePr>
        <xdr:cNvPr id="3" name="תרשים 2">
          <a:extLst>
            <a:ext uri="{FF2B5EF4-FFF2-40B4-BE49-F238E27FC236}">
              <a16:creationId xmlns:a16="http://schemas.microsoft.com/office/drawing/2014/main" xmlns=""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142876</xdr:rowOff>
    </xdr:from>
    <xdr:to>
      <xdr:col>6</xdr:col>
      <xdr:colOff>514350</xdr:colOff>
      <xdr:row>20</xdr:row>
      <xdr:rowOff>57150</xdr:rowOff>
    </xdr:to>
    <xdr:sp macro="" textlink="$J$4">
      <xdr:nvSpPr>
        <xdr:cNvPr id="4" name="TextBox 3">
          <a:extLst>
            <a:ext uri="{FF2B5EF4-FFF2-40B4-BE49-F238E27FC236}">
              <a16:creationId xmlns:a16="http://schemas.microsoft.com/office/drawing/2014/main" xmlns="" id="{00000000-0008-0000-0500-000004000000}"/>
            </a:ext>
          </a:extLst>
        </xdr:cNvPr>
        <xdr:cNvSpPr txBox="1"/>
      </xdr:nvSpPr>
      <xdr:spPr>
        <a:xfrm>
          <a:off x="9827304450" y="3724276"/>
          <a:ext cx="514350" cy="295274"/>
        </a:xfrm>
        <a:prstGeom prst="rect">
          <a:avLst/>
        </a:prstGeom>
        <a:solidFill>
          <a:schemeClr val="accent4">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A16A665-469A-4A49-96A6-C1CEE2543FE1}" type="TxLink">
            <a:rPr lang="he-IL" sz="1400" b="0" i="0" u="none" strike="noStrike">
              <a:solidFill>
                <a:srgbClr val="000000"/>
              </a:solidFill>
              <a:latin typeface="+mn-lt"/>
              <a:cs typeface="Arial"/>
            </a:rPr>
            <a:pPr algn="ctr" rtl="1"/>
            <a:t>0</a:t>
          </a:fld>
          <a:endParaRPr lang="he-IL" sz="1400">
            <a:latin typeface="+mn-lt"/>
          </a:endParaRPr>
        </a:p>
      </xdr:txBody>
    </xdr:sp>
    <xdr:clientData/>
  </xdr:twoCellAnchor>
  <xdr:twoCellAnchor>
    <xdr:from>
      <xdr:col>6</xdr:col>
      <xdr:colOff>0</xdr:colOff>
      <xdr:row>16</xdr:row>
      <xdr:rowOff>142875</xdr:rowOff>
    </xdr:from>
    <xdr:to>
      <xdr:col>6</xdr:col>
      <xdr:colOff>514350</xdr:colOff>
      <xdr:row>18</xdr:row>
      <xdr:rowOff>57150</xdr:rowOff>
    </xdr:to>
    <xdr:sp macro="" textlink="$J$2">
      <xdr:nvSpPr>
        <xdr:cNvPr id="5" name="TextBox 4">
          <a:extLst>
            <a:ext uri="{FF2B5EF4-FFF2-40B4-BE49-F238E27FC236}">
              <a16:creationId xmlns:a16="http://schemas.microsoft.com/office/drawing/2014/main" xmlns="" id="{00000000-0008-0000-0500-000005000000}"/>
            </a:ext>
          </a:extLst>
        </xdr:cNvPr>
        <xdr:cNvSpPr txBox="1"/>
      </xdr:nvSpPr>
      <xdr:spPr>
        <a:xfrm>
          <a:off x="9827304450" y="3343275"/>
          <a:ext cx="514350" cy="295275"/>
        </a:xfrm>
        <a:prstGeom prst="rect">
          <a:avLst/>
        </a:prstGeom>
        <a:solidFill>
          <a:schemeClr val="accent5">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2C2973A7-C1BC-4C73-AFA9-3F95A78641FE}" type="TxLink">
            <a:rPr lang="he-IL" sz="1400" b="0" i="0" u="none" strike="noStrike">
              <a:solidFill>
                <a:srgbClr val="000000"/>
              </a:solidFill>
              <a:latin typeface="Arial"/>
              <a:cs typeface="Arial"/>
            </a:rPr>
            <a:pPr algn="ctr" rtl="1"/>
            <a:t>380</a:t>
          </a:fld>
          <a:endParaRPr lang="he-IL" sz="1400"/>
        </a:p>
      </xdr:txBody>
    </xdr:sp>
    <xdr:clientData/>
  </xdr:twoCellAnchor>
  <xdr:twoCellAnchor>
    <xdr:from>
      <xdr:col>5</xdr:col>
      <xdr:colOff>1628774</xdr:colOff>
      <xdr:row>20</xdr:row>
      <xdr:rowOff>161926</xdr:rowOff>
    </xdr:from>
    <xdr:to>
      <xdr:col>6</xdr:col>
      <xdr:colOff>476249</xdr:colOff>
      <xdr:row>22</xdr:row>
      <xdr:rowOff>76201</xdr:rowOff>
    </xdr:to>
    <xdr:sp macro="" textlink="$B$7">
      <xdr:nvSpPr>
        <xdr:cNvPr id="6" name="TextBox 5">
          <a:extLst>
            <a:ext uri="{FF2B5EF4-FFF2-40B4-BE49-F238E27FC236}">
              <a16:creationId xmlns:a16="http://schemas.microsoft.com/office/drawing/2014/main" xmlns="" id="{00000000-0008-0000-0500-000006000000}"/>
            </a:ext>
          </a:extLst>
        </xdr:cNvPr>
        <xdr:cNvSpPr txBox="1"/>
      </xdr:nvSpPr>
      <xdr:spPr>
        <a:xfrm>
          <a:off x="9827342551" y="4124326"/>
          <a:ext cx="476250" cy="295275"/>
        </a:xfrm>
        <a:prstGeom prst="rect">
          <a:avLst/>
        </a:prstGeom>
        <a:solidFill>
          <a:schemeClr val="accent2">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4F785C29-7158-4BB2-9BAF-7A24FC395EA2}" type="TxLink">
            <a:rPr lang="he-IL" sz="1400" b="0" i="0" u="none" strike="noStrike">
              <a:solidFill>
                <a:srgbClr val="000000"/>
              </a:solidFill>
              <a:latin typeface="+mn-lt"/>
              <a:cs typeface="Arial"/>
            </a:rPr>
            <a:pPr algn="ctr" rtl="1"/>
            <a:t>0</a:t>
          </a:fld>
          <a:endParaRPr lang="he-IL" sz="1400">
            <a:latin typeface="+mn-lt"/>
          </a:endParaRPr>
        </a:p>
      </xdr:txBody>
    </xdr:sp>
    <xdr:clientData/>
  </xdr:twoCellAnchor>
  <xdr:twoCellAnchor>
    <xdr:from>
      <xdr:col>5</xdr:col>
      <xdr:colOff>1619250</xdr:colOff>
      <xdr:row>22</xdr:row>
      <xdr:rowOff>133351</xdr:rowOff>
    </xdr:from>
    <xdr:to>
      <xdr:col>6</xdr:col>
      <xdr:colOff>476250</xdr:colOff>
      <xdr:row>24</xdr:row>
      <xdr:rowOff>57151</xdr:rowOff>
    </xdr:to>
    <xdr:sp macro="" textlink="$B$8">
      <xdr:nvSpPr>
        <xdr:cNvPr id="7" name="TextBox 6">
          <a:extLst>
            <a:ext uri="{FF2B5EF4-FFF2-40B4-BE49-F238E27FC236}">
              <a16:creationId xmlns:a16="http://schemas.microsoft.com/office/drawing/2014/main" xmlns="" id="{00000000-0008-0000-0500-000007000000}"/>
            </a:ext>
          </a:extLst>
        </xdr:cNvPr>
        <xdr:cNvSpPr txBox="1"/>
      </xdr:nvSpPr>
      <xdr:spPr>
        <a:xfrm>
          <a:off x="9827342550" y="4476751"/>
          <a:ext cx="485775" cy="304800"/>
        </a:xfrm>
        <a:prstGeom prst="rect">
          <a:avLst/>
        </a:prstGeom>
        <a:solidFill>
          <a:schemeClr val="bg2">
            <a:lumMod val="75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5B93511B-02D6-4A86-9B5E-5F03F29C442D}" type="TxLink">
            <a:rPr lang="he-IL" sz="1400">
              <a:latin typeface="+mn-lt"/>
            </a:rPr>
            <a:pPr algn="ctr" rtl="1"/>
            <a:t>0</a:t>
          </a:fld>
          <a:endParaRPr lang="he-IL" sz="1400">
            <a:latin typeface="+mn-lt"/>
          </a:endParaRPr>
        </a:p>
      </xdr:txBody>
    </xdr:sp>
    <xdr:clientData/>
  </xdr:twoCellAnchor>
  <xdr:twoCellAnchor>
    <xdr:from>
      <xdr:col>7</xdr:col>
      <xdr:colOff>323851</xdr:colOff>
      <xdr:row>17</xdr:row>
      <xdr:rowOff>152401</xdr:rowOff>
    </xdr:from>
    <xdr:to>
      <xdr:col>10</xdr:col>
      <xdr:colOff>266701</xdr:colOff>
      <xdr:row>19</xdr:row>
      <xdr:rowOff>66676</xdr:rowOff>
    </xdr:to>
    <xdr:sp macro="" textlink="$J$6">
      <xdr:nvSpPr>
        <xdr:cNvPr id="8" name="TextBox 7">
          <a:extLst>
            <a:ext uri="{FF2B5EF4-FFF2-40B4-BE49-F238E27FC236}">
              <a16:creationId xmlns:a16="http://schemas.microsoft.com/office/drawing/2014/main" xmlns="" id="{00000000-0008-0000-0500-000008000000}"/>
            </a:ext>
          </a:extLst>
        </xdr:cNvPr>
        <xdr:cNvSpPr txBox="1"/>
      </xdr:nvSpPr>
      <xdr:spPr>
        <a:xfrm>
          <a:off x="9826351949" y="3543301"/>
          <a:ext cx="54292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EAEE5080-0849-4044-AE0D-67ADDEE83B3D}" type="TxLink">
            <a:rPr lang="he-IL" sz="1400" b="0" i="0" u="none" strike="noStrike">
              <a:solidFill>
                <a:srgbClr val="000000"/>
              </a:solidFill>
              <a:latin typeface="+mn-lt"/>
              <a:cs typeface="Arial"/>
            </a:rPr>
            <a:pPr algn="ctr" rtl="1"/>
            <a:t>25.0</a:t>
          </a:fld>
          <a:endParaRPr lang="he-IL" sz="1400">
            <a:latin typeface="+mn-lt"/>
          </a:endParaRPr>
        </a:p>
      </xdr:txBody>
    </xdr:sp>
    <xdr:clientData/>
  </xdr:twoCellAnchor>
  <xdr:twoCellAnchor>
    <xdr:from>
      <xdr:col>5</xdr:col>
      <xdr:colOff>1571625</xdr:colOff>
      <xdr:row>14</xdr:row>
      <xdr:rowOff>28575</xdr:rowOff>
    </xdr:from>
    <xdr:to>
      <xdr:col>6</xdr:col>
      <xdr:colOff>542925</xdr:colOff>
      <xdr:row>15</xdr:row>
      <xdr:rowOff>114300</xdr:rowOff>
    </xdr:to>
    <xdr:sp macro="" textlink="$B$2">
      <xdr:nvSpPr>
        <xdr:cNvPr id="9" name="TextBox 8">
          <a:extLst>
            <a:ext uri="{FF2B5EF4-FFF2-40B4-BE49-F238E27FC236}">
              <a16:creationId xmlns:a16="http://schemas.microsoft.com/office/drawing/2014/main" xmlns="" id="{00000000-0008-0000-0500-000009000000}"/>
            </a:ext>
          </a:extLst>
        </xdr:cNvPr>
        <xdr:cNvSpPr txBox="1"/>
      </xdr:nvSpPr>
      <xdr:spPr>
        <a:xfrm>
          <a:off x="9827275875" y="2847975"/>
          <a:ext cx="600075" cy="276225"/>
        </a:xfrm>
        <a:prstGeom prst="rect">
          <a:avLst/>
        </a:prstGeom>
        <a:solidFill>
          <a:schemeClr val="accent6">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a:fld id="{D47183DB-A5DE-49A0-91C6-15CB42E59586}" type="TxLink">
            <a:rPr lang="he-IL" sz="1400" b="1">
              <a:latin typeface="+mn-lt"/>
            </a:rPr>
            <a:pPr algn="ctr"/>
            <a:t>1572</a:t>
          </a:fld>
          <a:endParaRPr lang="en-US" sz="1400" b="1">
            <a:latin typeface="+mn-lt"/>
          </a:endParaRPr>
        </a:p>
      </xdr:txBody>
    </xdr:sp>
    <xdr:clientData/>
  </xdr:twoCellAnchor>
  <xdr:twoCellAnchor>
    <xdr:from>
      <xdr:col>5</xdr:col>
      <xdr:colOff>628650</xdr:colOff>
      <xdr:row>17</xdr:row>
      <xdr:rowOff>133351</xdr:rowOff>
    </xdr:from>
    <xdr:to>
      <xdr:col>5</xdr:col>
      <xdr:colOff>1162050</xdr:colOff>
      <xdr:row>19</xdr:row>
      <xdr:rowOff>47626</xdr:rowOff>
    </xdr:to>
    <xdr:sp macro="" textlink="$J$6">
      <xdr:nvSpPr>
        <xdr:cNvPr id="10" name="TextBox 9">
          <a:extLst>
            <a:ext uri="{FF2B5EF4-FFF2-40B4-BE49-F238E27FC236}">
              <a16:creationId xmlns:a16="http://schemas.microsoft.com/office/drawing/2014/main" xmlns="" id="{00000000-0008-0000-0500-00000A000000}"/>
            </a:ext>
          </a:extLst>
        </xdr:cNvPr>
        <xdr:cNvSpPr txBox="1"/>
      </xdr:nvSpPr>
      <xdr:spPr>
        <a:xfrm>
          <a:off x="9828285525" y="3524251"/>
          <a:ext cx="533400"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1D2B9F4C-67F9-485F-B9A3-AB46934ABC1B}" type="TxLink">
            <a:rPr lang="he-IL" sz="1400" b="0" i="0" u="none" strike="noStrike">
              <a:solidFill>
                <a:srgbClr val="000000"/>
              </a:solidFill>
              <a:latin typeface="+mn-lt"/>
              <a:cs typeface="Arial"/>
            </a:rPr>
            <a:pPr algn="ctr" rtl="1"/>
            <a:t>25.0</a:t>
          </a:fld>
          <a:endParaRPr lang="he-IL" sz="1400">
            <a:latin typeface="+mn-lt"/>
          </a:endParaRPr>
        </a:p>
      </xdr:txBody>
    </xdr:sp>
    <xdr:clientData/>
  </xdr:twoCellAnchor>
  <xdr:twoCellAnchor>
    <xdr:from>
      <xdr:col>2</xdr:col>
      <xdr:colOff>190499</xdr:colOff>
      <xdr:row>10</xdr:row>
      <xdr:rowOff>9525</xdr:rowOff>
    </xdr:from>
    <xdr:to>
      <xdr:col>6</xdr:col>
      <xdr:colOff>523874</xdr:colOff>
      <xdr:row>13</xdr:row>
      <xdr:rowOff>19049</xdr:rowOff>
    </xdr:to>
    <xdr:sp macro="" textlink="">
      <xdr:nvSpPr>
        <xdr:cNvPr id="14" name="TextBox 13">
          <a:extLst>
            <a:ext uri="{FF2B5EF4-FFF2-40B4-BE49-F238E27FC236}">
              <a16:creationId xmlns:a16="http://schemas.microsoft.com/office/drawing/2014/main" xmlns="" id="{00000000-0008-0000-0500-00000E000000}"/>
            </a:ext>
          </a:extLst>
        </xdr:cNvPr>
        <xdr:cNvSpPr txBox="1"/>
      </xdr:nvSpPr>
      <xdr:spPr>
        <a:xfrm>
          <a:off x="11232642001" y="2047875"/>
          <a:ext cx="4248150" cy="571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he-IL" sz="1100"/>
            <a:t>הצבעים המופיעים</a:t>
          </a:r>
          <a:r>
            <a:rPr lang="he-IL" sz="1100" baseline="0"/>
            <a:t> בטבלה הנ"ל משמשים כמקרא לתצוגת הצבעים והמשקלים המופיעים על איור המטוס (עם אותן יחידות משקל). למשל: משקל נוסעים אחוריים סומן בצבע סגול</a:t>
          </a:r>
          <a:endParaRPr lang="he-IL" sz="1100"/>
        </a:p>
      </xdr:txBody>
    </xdr:sp>
    <xdr:clientData/>
  </xdr:twoCellAnchor>
  <xdr:twoCellAnchor>
    <xdr:from>
      <xdr:col>4</xdr:col>
      <xdr:colOff>219075</xdr:colOff>
      <xdr:row>0</xdr:row>
      <xdr:rowOff>38100</xdr:rowOff>
    </xdr:from>
    <xdr:to>
      <xdr:col>5</xdr:col>
      <xdr:colOff>914400</xdr:colOff>
      <xdr:row>4</xdr:row>
      <xdr:rowOff>104775</xdr:rowOff>
    </xdr:to>
    <xdr:sp macro="" textlink="">
      <xdr:nvSpPr>
        <xdr:cNvPr id="15" name="TextBox 14">
          <a:extLst>
            <a:ext uri="{FF2B5EF4-FFF2-40B4-BE49-F238E27FC236}">
              <a16:creationId xmlns:a16="http://schemas.microsoft.com/office/drawing/2014/main" xmlns="" id="{00000000-0008-0000-0500-00000F000000}"/>
            </a:ext>
          </a:extLst>
        </xdr:cNvPr>
        <xdr:cNvSpPr txBox="1"/>
      </xdr:nvSpPr>
      <xdr:spPr>
        <a:xfrm>
          <a:off x="9828533175" y="38100"/>
          <a:ext cx="1295400" cy="876300"/>
        </a:xfrm>
        <a:prstGeom prst="rect">
          <a:avLst/>
        </a:prstGeom>
        <a:solidFill>
          <a:schemeClr val="lt1"/>
        </a:solidFill>
        <a:ln w="9525" cmpd="sng">
          <a:noFill/>
        </a:ln>
        <a:effectLst>
          <a:innerShdw blurRad="63500" dist="50800" dir="54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en-US" sz="4800"/>
            <a:t>DAV</a:t>
          </a:r>
          <a:endParaRPr lang="he-IL" sz="4800"/>
        </a:p>
      </xdr:txBody>
    </xdr:sp>
    <xdr:clientData/>
  </xdr:twoCellAnchor>
  <xdr:twoCellAnchor editAs="oneCell">
    <xdr:from>
      <xdr:col>5</xdr:col>
      <xdr:colOff>1295400</xdr:colOff>
      <xdr:row>1</xdr:row>
      <xdr:rowOff>76397</xdr:rowOff>
    </xdr:from>
    <xdr:to>
      <xdr:col>10</xdr:col>
      <xdr:colOff>159013</xdr:colOff>
      <xdr:row>7</xdr:row>
      <xdr:rowOff>29778</xdr:rowOff>
    </xdr:to>
    <xdr:pic>
      <xdr:nvPicPr>
        <xdr:cNvPr id="16" name="תמונה 15">
          <a:extLst>
            <a:ext uri="{FF2B5EF4-FFF2-40B4-BE49-F238E27FC236}">
              <a16:creationId xmlns:a16="http://schemas.microsoft.com/office/drawing/2014/main" xmlns="" id="{00000000-0008-0000-0500-00001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26459637" y="266897"/>
          <a:ext cx="1692538" cy="1201156"/>
        </a:xfrm>
        <a:prstGeom prst="rect">
          <a:avLst/>
        </a:prstGeom>
      </xdr:spPr>
    </xdr:pic>
    <xdr:clientData/>
  </xdr:twoCellAnchor>
  <xdr:twoCellAnchor>
    <xdr:from>
      <xdr:col>4</xdr:col>
      <xdr:colOff>304800</xdr:colOff>
      <xdr:row>5</xdr:row>
      <xdr:rowOff>38100</xdr:rowOff>
    </xdr:from>
    <xdr:to>
      <xdr:col>5</xdr:col>
      <xdr:colOff>962025</xdr:colOff>
      <xdr:row>7</xdr:row>
      <xdr:rowOff>28575</xdr:rowOff>
    </xdr:to>
    <xdr:sp macro="" textlink="'נתוני מטוסים'!P14">
      <xdr:nvSpPr>
        <xdr:cNvPr id="18" name="TextBox 17">
          <a:extLst>
            <a:ext uri="{FF2B5EF4-FFF2-40B4-BE49-F238E27FC236}">
              <a16:creationId xmlns:a16="http://schemas.microsoft.com/office/drawing/2014/main" xmlns="" id="{00000000-0008-0000-0500-000012000000}"/>
            </a:ext>
          </a:extLst>
        </xdr:cNvPr>
        <xdr:cNvSpPr txBox="1"/>
      </xdr:nvSpPr>
      <xdr:spPr>
        <a:xfrm>
          <a:off x="9828485550" y="1057275"/>
          <a:ext cx="12573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528FD39-BD5C-44B9-AE38-B137D7EEAA5D}" type="TxLink">
            <a:rPr lang="he-IL" sz="1100" b="0" i="0" u="none" strike="noStrike">
              <a:solidFill>
                <a:srgbClr val="000000"/>
              </a:solidFill>
              <a:latin typeface="Arial"/>
              <a:cs typeface="Arial"/>
            </a:rPr>
            <a:pPr algn="ctr" rtl="1"/>
            <a:t>20/06/2022 11:07</a:t>
          </a:fld>
          <a:endParaRPr lang="he-IL"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228600</xdr:colOff>
      <xdr:row>13</xdr:row>
      <xdr:rowOff>95250</xdr:rowOff>
    </xdr:from>
    <xdr:to>
      <xdr:col>10</xdr:col>
      <xdr:colOff>585394</xdr:colOff>
      <xdr:row>28</xdr:row>
      <xdr:rowOff>152400</xdr:rowOff>
    </xdr:to>
    <xdr:pic>
      <xdr:nvPicPr>
        <xdr:cNvPr id="18" name="תמונה 17" descr="fl_c17211111.jpg">
          <a:extLst>
            <a:ext uri="{FF2B5EF4-FFF2-40B4-BE49-F238E27FC236}">
              <a16:creationId xmlns:a16="http://schemas.microsoft.com/office/drawing/2014/main" xmlns="" id="{00000000-0008-0000-0600-000012000000}"/>
            </a:ext>
          </a:extLst>
        </xdr:cNvPr>
        <xdr:cNvPicPr>
          <a:picLocks noChangeAspect="1"/>
        </xdr:cNvPicPr>
      </xdr:nvPicPr>
      <xdr:blipFill>
        <a:blip xmlns:r="http://schemas.openxmlformats.org/officeDocument/2006/relationships" r:embed="rId1" cstate="print"/>
        <a:stretch>
          <a:fillRect/>
        </a:stretch>
      </xdr:blipFill>
      <xdr:spPr>
        <a:xfrm>
          <a:off x="11229837281" y="2695575"/>
          <a:ext cx="3585769" cy="2819400"/>
        </a:xfrm>
        <a:prstGeom prst="rect">
          <a:avLst/>
        </a:prstGeom>
        <a:noFill/>
        <a:ln>
          <a:noFill/>
        </a:ln>
      </xdr:spPr>
    </xdr:pic>
    <xdr:clientData/>
  </xdr:twoCellAnchor>
  <xdr:twoCellAnchor>
    <xdr:from>
      <xdr:col>1</xdr:col>
      <xdr:colOff>28574</xdr:colOff>
      <xdr:row>13</xdr:row>
      <xdr:rowOff>123824</xdr:rowOff>
    </xdr:from>
    <xdr:to>
      <xdr:col>5</xdr:col>
      <xdr:colOff>257174</xdr:colOff>
      <xdr:row>27</xdr:row>
      <xdr:rowOff>57150</xdr:rowOff>
    </xdr:to>
    <xdr:graphicFrame macro="">
      <xdr:nvGraphicFramePr>
        <xdr:cNvPr id="3" name="תרשים 2">
          <a:extLst>
            <a:ext uri="{FF2B5EF4-FFF2-40B4-BE49-F238E27FC236}">
              <a16:creationId xmlns:a16="http://schemas.microsoft.com/office/drawing/2014/main" xmlns=""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1562100</xdr:colOff>
      <xdr:row>19</xdr:row>
      <xdr:rowOff>19051</xdr:rowOff>
    </xdr:from>
    <xdr:to>
      <xdr:col>6</xdr:col>
      <xdr:colOff>495300</xdr:colOff>
      <xdr:row>20</xdr:row>
      <xdr:rowOff>123825</xdr:rowOff>
    </xdr:to>
    <xdr:sp macro="" textlink="$J$4">
      <xdr:nvSpPr>
        <xdr:cNvPr id="4" name="TextBox 3">
          <a:extLst>
            <a:ext uri="{FF2B5EF4-FFF2-40B4-BE49-F238E27FC236}">
              <a16:creationId xmlns:a16="http://schemas.microsoft.com/office/drawing/2014/main" xmlns="" id="{00000000-0008-0000-0600-000004000000}"/>
            </a:ext>
          </a:extLst>
        </xdr:cNvPr>
        <xdr:cNvSpPr txBox="1"/>
      </xdr:nvSpPr>
      <xdr:spPr>
        <a:xfrm>
          <a:off x="9827323500" y="3790951"/>
          <a:ext cx="561975" cy="295274"/>
        </a:xfrm>
        <a:prstGeom prst="rect">
          <a:avLst/>
        </a:prstGeom>
        <a:solidFill>
          <a:schemeClr val="accent4">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A16A665-469A-4A49-96A6-C1CEE2543FE1}" type="TxLink">
            <a:rPr lang="he-IL" sz="1400" b="0" i="0" u="none" strike="noStrike">
              <a:solidFill>
                <a:srgbClr val="000000"/>
              </a:solidFill>
              <a:latin typeface="+mn-lt"/>
              <a:cs typeface="Arial"/>
            </a:rPr>
            <a:pPr algn="ctr" rtl="1"/>
            <a:t>300</a:t>
          </a:fld>
          <a:endParaRPr lang="he-IL" sz="1400">
            <a:latin typeface="+mn-lt"/>
          </a:endParaRPr>
        </a:p>
      </xdr:txBody>
    </xdr:sp>
    <xdr:clientData/>
  </xdr:twoCellAnchor>
  <xdr:twoCellAnchor>
    <xdr:from>
      <xdr:col>5</xdr:col>
      <xdr:colOff>1581150</xdr:colOff>
      <xdr:row>16</xdr:row>
      <xdr:rowOff>152400</xdr:rowOff>
    </xdr:from>
    <xdr:to>
      <xdr:col>6</xdr:col>
      <xdr:colOff>485775</xdr:colOff>
      <xdr:row>18</xdr:row>
      <xdr:rowOff>57150</xdr:rowOff>
    </xdr:to>
    <xdr:sp macro="" textlink="$J$2">
      <xdr:nvSpPr>
        <xdr:cNvPr id="5" name="TextBox 4">
          <a:extLst>
            <a:ext uri="{FF2B5EF4-FFF2-40B4-BE49-F238E27FC236}">
              <a16:creationId xmlns:a16="http://schemas.microsoft.com/office/drawing/2014/main" xmlns="" id="{00000000-0008-0000-0600-000005000000}"/>
            </a:ext>
          </a:extLst>
        </xdr:cNvPr>
        <xdr:cNvSpPr txBox="1"/>
      </xdr:nvSpPr>
      <xdr:spPr>
        <a:xfrm>
          <a:off x="9827333025" y="3352800"/>
          <a:ext cx="533400" cy="285750"/>
        </a:xfrm>
        <a:prstGeom prst="rect">
          <a:avLst/>
        </a:prstGeom>
        <a:solidFill>
          <a:schemeClr val="accent5">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2C2973A7-C1BC-4C73-AFA9-3F95A78641FE}" type="TxLink">
            <a:rPr lang="he-IL" sz="1400" b="0" i="0" u="none" strike="noStrike">
              <a:solidFill>
                <a:srgbClr val="000000"/>
              </a:solidFill>
              <a:latin typeface="Arial"/>
              <a:cs typeface="Arial"/>
            </a:rPr>
            <a:pPr algn="ctr" rtl="1"/>
            <a:t>300</a:t>
          </a:fld>
          <a:endParaRPr lang="he-IL" sz="1400"/>
        </a:p>
      </xdr:txBody>
    </xdr:sp>
    <xdr:clientData/>
  </xdr:twoCellAnchor>
  <xdr:twoCellAnchor>
    <xdr:from>
      <xdr:col>6</xdr:col>
      <xdr:colOff>0</xdr:colOff>
      <xdr:row>21</xdr:row>
      <xdr:rowOff>47626</xdr:rowOff>
    </xdr:from>
    <xdr:to>
      <xdr:col>6</xdr:col>
      <xdr:colOff>485775</xdr:colOff>
      <xdr:row>22</xdr:row>
      <xdr:rowOff>142876</xdr:rowOff>
    </xdr:to>
    <xdr:sp macro="" textlink="$B$7">
      <xdr:nvSpPr>
        <xdr:cNvPr id="6" name="TextBox 5">
          <a:extLst>
            <a:ext uri="{FF2B5EF4-FFF2-40B4-BE49-F238E27FC236}">
              <a16:creationId xmlns:a16="http://schemas.microsoft.com/office/drawing/2014/main" xmlns="" id="{00000000-0008-0000-0600-000006000000}"/>
            </a:ext>
          </a:extLst>
        </xdr:cNvPr>
        <xdr:cNvSpPr txBox="1"/>
      </xdr:nvSpPr>
      <xdr:spPr>
        <a:xfrm>
          <a:off x="9827333025" y="4200526"/>
          <a:ext cx="485775" cy="285750"/>
        </a:xfrm>
        <a:prstGeom prst="rect">
          <a:avLst/>
        </a:prstGeom>
        <a:solidFill>
          <a:schemeClr val="accent2">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4F785C29-7158-4BB2-9BAF-7A24FC395EA2}" type="TxLink">
            <a:rPr lang="he-IL" sz="1400" b="0" i="0" u="none" strike="noStrike">
              <a:solidFill>
                <a:srgbClr val="000000"/>
              </a:solidFill>
              <a:latin typeface="+mn-lt"/>
              <a:cs typeface="Arial"/>
            </a:rPr>
            <a:pPr algn="ctr" rtl="1"/>
            <a:t>0</a:t>
          </a:fld>
          <a:endParaRPr lang="he-IL" sz="1400">
            <a:latin typeface="+mn-lt"/>
          </a:endParaRPr>
        </a:p>
      </xdr:txBody>
    </xdr:sp>
    <xdr:clientData/>
  </xdr:twoCellAnchor>
  <xdr:twoCellAnchor>
    <xdr:from>
      <xdr:col>6</xdr:col>
      <xdr:colOff>0</xdr:colOff>
      <xdr:row>23</xdr:row>
      <xdr:rowOff>9526</xdr:rowOff>
    </xdr:from>
    <xdr:to>
      <xdr:col>6</xdr:col>
      <xdr:colOff>485775</xdr:colOff>
      <xdr:row>24</xdr:row>
      <xdr:rowOff>114301</xdr:rowOff>
    </xdr:to>
    <xdr:sp macro="" textlink="$B$8">
      <xdr:nvSpPr>
        <xdr:cNvPr id="7" name="TextBox 6">
          <a:extLst>
            <a:ext uri="{FF2B5EF4-FFF2-40B4-BE49-F238E27FC236}">
              <a16:creationId xmlns:a16="http://schemas.microsoft.com/office/drawing/2014/main" xmlns="" id="{00000000-0008-0000-0600-000007000000}"/>
            </a:ext>
          </a:extLst>
        </xdr:cNvPr>
        <xdr:cNvSpPr txBox="1"/>
      </xdr:nvSpPr>
      <xdr:spPr>
        <a:xfrm>
          <a:off x="9827333025" y="4543426"/>
          <a:ext cx="485775" cy="295275"/>
        </a:xfrm>
        <a:prstGeom prst="rect">
          <a:avLst/>
        </a:prstGeom>
        <a:solidFill>
          <a:schemeClr val="bg2">
            <a:lumMod val="75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5B93511B-02D6-4A86-9B5E-5F03F29C442D}" type="TxLink">
            <a:rPr lang="he-IL" sz="1400">
              <a:latin typeface="+mn-lt"/>
            </a:rPr>
            <a:pPr algn="ctr" rtl="1"/>
            <a:t>0</a:t>
          </a:fld>
          <a:endParaRPr lang="he-IL" sz="1400">
            <a:latin typeface="+mn-lt"/>
          </a:endParaRPr>
        </a:p>
      </xdr:txBody>
    </xdr:sp>
    <xdr:clientData/>
  </xdr:twoCellAnchor>
  <xdr:twoCellAnchor>
    <xdr:from>
      <xdr:col>7</xdr:col>
      <xdr:colOff>419101</xdr:colOff>
      <xdr:row>17</xdr:row>
      <xdr:rowOff>114301</xdr:rowOff>
    </xdr:from>
    <xdr:to>
      <xdr:col>10</xdr:col>
      <xdr:colOff>361951</xdr:colOff>
      <xdr:row>19</xdr:row>
      <xdr:rowOff>28576</xdr:rowOff>
    </xdr:to>
    <xdr:sp macro="" textlink="$J$6">
      <xdr:nvSpPr>
        <xdr:cNvPr id="8" name="TextBox 7">
          <a:extLst>
            <a:ext uri="{FF2B5EF4-FFF2-40B4-BE49-F238E27FC236}">
              <a16:creationId xmlns:a16="http://schemas.microsoft.com/office/drawing/2014/main" xmlns="" id="{00000000-0008-0000-0600-000008000000}"/>
            </a:ext>
          </a:extLst>
        </xdr:cNvPr>
        <xdr:cNvSpPr txBox="1"/>
      </xdr:nvSpPr>
      <xdr:spPr>
        <a:xfrm>
          <a:off x="9826256699" y="3505201"/>
          <a:ext cx="54292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EAEE5080-0849-4044-AE0D-67ADDEE83B3D}" type="TxLink">
            <a:rPr lang="he-IL" sz="1400" b="0" i="0" u="none" strike="noStrike">
              <a:solidFill>
                <a:srgbClr val="000000"/>
              </a:solidFill>
              <a:latin typeface="+mn-lt"/>
              <a:cs typeface="Arial"/>
            </a:rPr>
            <a:pPr algn="ctr" rtl="1"/>
            <a:t>20.0</a:t>
          </a:fld>
          <a:endParaRPr lang="he-IL" sz="1400">
            <a:latin typeface="+mn-lt"/>
          </a:endParaRPr>
        </a:p>
      </xdr:txBody>
    </xdr:sp>
    <xdr:clientData/>
  </xdr:twoCellAnchor>
  <xdr:twoCellAnchor>
    <xdr:from>
      <xdr:col>5</xdr:col>
      <xdr:colOff>1552575</xdr:colOff>
      <xdr:row>14</xdr:row>
      <xdr:rowOff>38100</xdr:rowOff>
    </xdr:from>
    <xdr:to>
      <xdr:col>6</xdr:col>
      <xdr:colOff>514350</xdr:colOff>
      <xdr:row>15</xdr:row>
      <xdr:rowOff>123825</xdr:rowOff>
    </xdr:to>
    <xdr:sp macro="" textlink="$B$2">
      <xdr:nvSpPr>
        <xdr:cNvPr id="9" name="TextBox 8">
          <a:extLst>
            <a:ext uri="{FF2B5EF4-FFF2-40B4-BE49-F238E27FC236}">
              <a16:creationId xmlns:a16="http://schemas.microsoft.com/office/drawing/2014/main" xmlns="" id="{00000000-0008-0000-0600-000009000000}"/>
            </a:ext>
          </a:extLst>
        </xdr:cNvPr>
        <xdr:cNvSpPr txBox="1"/>
      </xdr:nvSpPr>
      <xdr:spPr>
        <a:xfrm>
          <a:off x="9827304450" y="2857500"/>
          <a:ext cx="590550" cy="276225"/>
        </a:xfrm>
        <a:prstGeom prst="rect">
          <a:avLst/>
        </a:prstGeom>
        <a:solidFill>
          <a:schemeClr val="accent6">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a:fld id="{D47183DB-A5DE-49A0-91C6-15CB42E59586}" type="TxLink">
            <a:rPr lang="he-IL" sz="1400" b="1">
              <a:latin typeface="+mn-lt"/>
            </a:rPr>
            <a:pPr algn="ctr"/>
            <a:t>1702.8</a:t>
          </a:fld>
          <a:endParaRPr lang="en-US" sz="1400" b="1">
            <a:latin typeface="+mn-lt"/>
          </a:endParaRPr>
        </a:p>
      </xdr:txBody>
    </xdr:sp>
    <xdr:clientData/>
  </xdr:twoCellAnchor>
  <xdr:twoCellAnchor>
    <xdr:from>
      <xdr:col>5</xdr:col>
      <xdr:colOff>457201</xdr:colOff>
      <xdr:row>17</xdr:row>
      <xdr:rowOff>104776</xdr:rowOff>
    </xdr:from>
    <xdr:to>
      <xdr:col>5</xdr:col>
      <xdr:colOff>1057276</xdr:colOff>
      <xdr:row>19</xdr:row>
      <xdr:rowOff>19051</xdr:rowOff>
    </xdr:to>
    <xdr:sp macro="" textlink="$J$6">
      <xdr:nvSpPr>
        <xdr:cNvPr id="10" name="TextBox 9">
          <a:extLst>
            <a:ext uri="{FF2B5EF4-FFF2-40B4-BE49-F238E27FC236}">
              <a16:creationId xmlns:a16="http://schemas.microsoft.com/office/drawing/2014/main" xmlns="" id="{00000000-0008-0000-0600-00000A000000}"/>
            </a:ext>
          </a:extLst>
        </xdr:cNvPr>
        <xdr:cNvSpPr txBox="1"/>
      </xdr:nvSpPr>
      <xdr:spPr>
        <a:xfrm>
          <a:off x="9828390299" y="3495676"/>
          <a:ext cx="60007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1D2B9F4C-67F9-485F-B9A3-AB46934ABC1B}" type="TxLink">
            <a:rPr lang="he-IL" sz="1400" b="0" i="0" u="none" strike="noStrike">
              <a:solidFill>
                <a:srgbClr val="000000"/>
              </a:solidFill>
              <a:latin typeface="+mn-lt"/>
              <a:cs typeface="Arial"/>
            </a:rPr>
            <a:pPr algn="ctr" rtl="1"/>
            <a:t>20.0</a:t>
          </a:fld>
          <a:endParaRPr lang="he-IL" sz="1400">
            <a:latin typeface="+mn-lt"/>
          </a:endParaRPr>
        </a:p>
      </xdr:txBody>
    </xdr:sp>
    <xdr:clientData/>
  </xdr:twoCellAnchor>
  <xdr:twoCellAnchor>
    <xdr:from>
      <xdr:col>2</xdr:col>
      <xdr:colOff>190499</xdr:colOff>
      <xdr:row>10</xdr:row>
      <xdr:rowOff>9525</xdr:rowOff>
    </xdr:from>
    <xdr:to>
      <xdr:col>6</xdr:col>
      <xdr:colOff>523874</xdr:colOff>
      <xdr:row>13</xdr:row>
      <xdr:rowOff>19049</xdr:rowOff>
    </xdr:to>
    <xdr:sp macro="" textlink="">
      <xdr:nvSpPr>
        <xdr:cNvPr id="14" name="TextBox 13">
          <a:extLst>
            <a:ext uri="{FF2B5EF4-FFF2-40B4-BE49-F238E27FC236}">
              <a16:creationId xmlns:a16="http://schemas.microsoft.com/office/drawing/2014/main" xmlns="" id="{00000000-0008-0000-0600-00000E000000}"/>
            </a:ext>
          </a:extLst>
        </xdr:cNvPr>
        <xdr:cNvSpPr txBox="1"/>
      </xdr:nvSpPr>
      <xdr:spPr>
        <a:xfrm>
          <a:off x="11232642001" y="2047875"/>
          <a:ext cx="4248150" cy="571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he-IL" sz="1100"/>
            <a:t>הצבעים המופיעים</a:t>
          </a:r>
          <a:r>
            <a:rPr lang="he-IL" sz="1100" baseline="0"/>
            <a:t> בטבלה הנ"ל משמשים כמקרא לתצוגת הצבעים והמשקלים המופיעים על איור המטוס (עם אותן יחידות משקל). למשל: משקל נוסעים אחוריים סומן בצבע סגול</a:t>
          </a:r>
          <a:endParaRPr lang="he-IL" sz="1100"/>
        </a:p>
      </xdr:txBody>
    </xdr:sp>
    <xdr:clientData/>
  </xdr:twoCellAnchor>
  <xdr:twoCellAnchor>
    <xdr:from>
      <xdr:col>4</xdr:col>
      <xdr:colOff>323850</xdr:colOff>
      <xdr:row>0</xdr:row>
      <xdr:rowOff>38100</xdr:rowOff>
    </xdr:from>
    <xdr:to>
      <xdr:col>5</xdr:col>
      <xdr:colOff>1085850</xdr:colOff>
      <xdr:row>4</xdr:row>
      <xdr:rowOff>104775</xdr:rowOff>
    </xdr:to>
    <xdr:sp macro="" textlink="">
      <xdr:nvSpPr>
        <xdr:cNvPr id="15" name="TextBox 14">
          <a:extLst>
            <a:ext uri="{FF2B5EF4-FFF2-40B4-BE49-F238E27FC236}">
              <a16:creationId xmlns:a16="http://schemas.microsoft.com/office/drawing/2014/main" xmlns="" id="{00000000-0008-0000-0600-00000F000000}"/>
            </a:ext>
          </a:extLst>
        </xdr:cNvPr>
        <xdr:cNvSpPr txBox="1"/>
      </xdr:nvSpPr>
      <xdr:spPr>
        <a:xfrm>
          <a:off x="11233937400" y="38100"/>
          <a:ext cx="1447800" cy="866775"/>
        </a:xfrm>
        <a:prstGeom prst="rect">
          <a:avLst/>
        </a:prstGeom>
        <a:solidFill>
          <a:schemeClr val="lt1"/>
        </a:solidFill>
        <a:ln w="9525" cmpd="sng">
          <a:noFill/>
        </a:ln>
        <a:effectLst>
          <a:innerShdw blurRad="63500" dist="50800" dir="54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en-US" sz="4800"/>
            <a:t>CHD</a:t>
          </a:r>
          <a:endParaRPr lang="he-IL" sz="4800"/>
        </a:p>
      </xdr:txBody>
    </xdr:sp>
    <xdr:clientData/>
  </xdr:twoCellAnchor>
  <xdr:twoCellAnchor editAs="oneCell">
    <xdr:from>
      <xdr:col>5</xdr:col>
      <xdr:colOff>1314450</xdr:colOff>
      <xdr:row>0</xdr:row>
      <xdr:rowOff>108352</xdr:rowOff>
    </xdr:from>
    <xdr:to>
      <xdr:col>10</xdr:col>
      <xdr:colOff>206638</xdr:colOff>
      <xdr:row>6</xdr:row>
      <xdr:rowOff>101061</xdr:rowOff>
    </xdr:to>
    <xdr:pic>
      <xdr:nvPicPr>
        <xdr:cNvPr id="16" name="תמונה 15">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26412012" y="108352"/>
          <a:ext cx="1721113" cy="1221434"/>
        </a:xfrm>
        <a:prstGeom prst="rect">
          <a:avLst/>
        </a:prstGeom>
      </xdr:spPr>
    </xdr:pic>
    <xdr:clientData/>
  </xdr:twoCellAnchor>
  <xdr:twoCellAnchor>
    <xdr:from>
      <xdr:col>4</xdr:col>
      <xdr:colOff>400050</xdr:colOff>
      <xdr:row>4</xdr:row>
      <xdr:rowOff>180975</xdr:rowOff>
    </xdr:from>
    <xdr:to>
      <xdr:col>5</xdr:col>
      <xdr:colOff>1057275</xdr:colOff>
      <xdr:row>6</xdr:row>
      <xdr:rowOff>200025</xdr:rowOff>
    </xdr:to>
    <xdr:sp macro="" textlink="'נתוני מטוסים'!P14">
      <xdr:nvSpPr>
        <xdr:cNvPr id="17" name="TextBox 16">
          <a:extLst>
            <a:ext uri="{FF2B5EF4-FFF2-40B4-BE49-F238E27FC236}">
              <a16:creationId xmlns:a16="http://schemas.microsoft.com/office/drawing/2014/main" xmlns="" id="{00000000-0008-0000-0600-000011000000}"/>
            </a:ext>
          </a:extLst>
        </xdr:cNvPr>
        <xdr:cNvSpPr txBox="1"/>
      </xdr:nvSpPr>
      <xdr:spPr>
        <a:xfrm>
          <a:off x="9828390300" y="990600"/>
          <a:ext cx="1257300"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528FD39-BD5C-44B9-AE38-B137D7EEAA5D}" type="TxLink">
            <a:rPr lang="he-IL" sz="1100" b="0" i="0" u="none" strike="noStrike">
              <a:solidFill>
                <a:srgbClr val="000000"/>
              </a:solidFill>
              <a:latin typeface="Arial"/>
              <a:cs typeface="Arial"/>
            </a:rPr>
            <a:pPr algn="ctr" rtl="1"/>
            <a:t>20/06/2022 11:07</a:t>
          </a:fld>
          <a:endParaRPr lang="he-IL" sz="1100"/>
        </a:p>
      </xdr:txBody>
    </xdr:sp>
    <xdr:clientData/>
  </xdr:twoCellAnchor>
  <xdr:twoCellAnchor>
    <xdr:from>
      <xdr:col>1</xdr:col>
      <xdr:colOff>428624</xdr:colOff>
      <xdr:row>6</xdr:row>
      <xdr:rowOff>9525</xdr:rowOff>
    </xdr:from>
    <xdr:to>
      <xdr:col>1</xdr:col>
      <xdr:colOff>866774</xdr:colOff>
      <xdr:row>7</xdr:row>
      <xdr:rowOff>19050</xdr:rowOff>
    </xdr:to>
    <xdr:sp macro="" textlink=" 'נתוני מטוסים'!D36">
      <xdr:nvSpPr>
        <xdr:cNvPr id="2" name="TextBox 1">
          <a:extLst>
            <a:ext uri="{FF2B5EF4-FFF2-40B4-BE49-F238E27FC236}">
              <a16:creationId xmlns:a16="http://schemas.microsoft.com/office/drawing/2014/main" xmlns="" id="{00000000-0008-0000-0600-000002000000}"/>
            </a:ext>
          </a:extLst>
        </xdr:cNvPr>
        <xdr:cNvSpPr txBox="1"/>
      </xdr:nvSpPr>
      <xdr:spPr>
        <a:xfrm>
          <a:off x="11235718576" y="1228725"/>
          <a:ext cx="438150" cy="219075"/>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1" anchor="t"/>
        <a:lstStyle/>
        <a:p>
          <a:pPr algn="r" rtl="1"/>
          <a:fld id="{09A998F5-4884-479E-87F2-2267D06AFD06}" type="TxLink">
            <a:rPr lang="en-US" sz="1400" b="1"/>
            <a:pPr algn="r" rtl="1"/>
            <a:t> </a:t>
          </a:fld>
          <a:endParaRPr lang="en-US" sz="1400" b="1"/>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1447800</xdr:colOff>
      <xdr:row>16</xdr:row>
      <xdr:rowOff>47624</xdr:rowOff>
    </xdr:from>
    <xdr:to>
      <xdr:col>11</xdr:col>
      <xdr:colOff>1156894</xdr:colOff>
      <xdr:row>33</xdr:row>
      <xdr:rowOff>180974</xdr:rowOff>
    </xdr:to>
    <xdr:pic>
      <xdr:nvPicPr>
        <xdr:cNvPr id="18" name="תמונה 17" descr="fl_c17211111.jpg">
          <a:extLst>
            <a:ext uri="{FF2B5EF4-FFF2-40B4-BE49-F238E27FC236}">
              <a16:creationId xmlns:a16="http://schemas.microsoft.com/office/drawing/2014/main" xmlns="" id="{00000000-0008-0000-0700-000012000000}"/>
            </a:ext>
          </a:extLst>
        </xdr:cNvPr>
        <xdr:cNvPicPr>
          <a:picLocks noChangeAspect="1"/>
        </xdr:cNvPicPr>
      </xdr:nvPicPr>
      <xdr:blipFill>
        <a:blip xmlns:r="http://schemas.openxmlformats.org/officeDocument/2006/relationships" r:embed="rId1" cstate="print"/>
        <a:stretch>
          <a:fillRect/>
        </a:stretch>
      </xdr:blipFill>
      <xdr:spPr>
        <a:xfrm>
          <a:off x="9824861681" y="3324224"/>
          <a:ext cx="3176194" cy="3381375"/>
        </a:xfrm>
        <a:prstGeom prst="rect">
          <a:avLst/>
        </a:prstGeom>
        <a:noFill/>
        <a:ln>
          <a:noFill/>
        </a:ln>
      </xdr:spPr>
    </xdr:pic>
    <xdr:clientData/>
  </xdr:twoCellAnchor>
  <xdr:twoCellAnchor>
    <xdr:from>
      <xdr:col>1</xdr:col>
      <xdr:colOff>95250</xdr:colOff>
      <xdr:row>17</xdr:row>
      <xdr:rowOff>66676</xdr:rowOff>
    </xdr:from>
    <xdr:to>
      <xdr:col>5</xdr:col>
      <xdr:colOff>1333499</xdr:colOff>
      <xdr:row>29</xdr:row>
      <xdr:rowOff>1</xdr:rowOff>
    </xdr:to>
    <xdr:graphicFrame macro="">
      <xdr:nvGraphicFramePr>
        <xdr:cNvPr id="3" name="תרשים 2">
          <a:extLst>
            <a:ext uri="{FF2B5EF4-FFF2-40B4-BE49-F238E27FC236}">
              <a16:creationId xmlns:a16="http://schemas.microsoft.com/office/drawing/2014/main" xmlns=""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600075</xdr:colOff>
      <xdr:row>22</xdr:row>
      <xdr:rowOff>1</xdr:rowOff>
    </xdr:from>
    <xdr:to>
      <xdr:col>10</xdr:col>
      <xdr:colOff>523875</xdr:colOff>
      <xdr:row>23</xdr:row>
      <xdr:rowOff>104775</xdr:rowOff>
    </xdr:to>
    <xdr:sp macro="" textlink="$J$4">
      <xdr:nvSpPr>
        <xdr:cNvPr id="4" name="TextBox 3">
          <a:extLst>
            <a:ext uri="{FF2B5EF4-FFF2-40B4-BE49-F238E27FC236}">
              <a16:creationId xmlns:a16="http://schemas.microsoft.com/office/drawing/2014/main" xmlns="" id="{00000000-0008-0000-0700-000004000000}"/>
            </a:ext>
          </a:extLst>
        </xdr:cNvPr>
        <xdr:cNvSpPr txBox="1"/>
      </xdr:nvSpPr>
      <xdr:spPr>
        <a:xfrm>
          <a:off x="9826094775" y="4419601"/>
          <a:ext cx="561975" cy="295274"/>
        </a:xfrm>
        <a:prstGeom prst="rect">
          <a:avLst/>
        </a:prstGeom>
        <a:solidFill>
          <a:schemeClr val="accent4">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A16A665-469A-4A49-96A6-C1CEE2543FE1}" type="TxLink">
            <a:rPr lang="he-IL" sz="1400">
              <a:latin typeface="+mn-lt"/>
            </a:rPr>
            <a:pPr algn="ctr" rtl="1"/>
            <a:t>0</a:t>
          </a:fld>
          <a:endParaRPr lang="he-IL" sz="1400">
            <a:latin typeface="+mn-lt"/>
          </a:endParaRPr>
        </a:p>
      </xdr:txBody>
    </xdr:sp>
    <xdr:clientData/>
  </xdr:twoCellAnchor>
  <xdr:twoCellAnchor>
    <xdr:from>
      <xdr:col>7</xdr:col>
      <xdr:colOff>581026</xdr:colOff>
      <xdr:row>20</xdr:row>
      <xdr:rowOff>47625</xdr:rowOff>
    </xdr:from>
    <xdr:to>
      <xdr:col>10</xdr:col>
      <xdr:colOff>523876</xdr:colOff>
      <xdr:row>21</xdr:row>
      <xdr:rowOff>142875</xdr:rowOff>
    </xdr:to>
    <xdr:sp macro="" textlink="$J$2">
      <xdr:nvSpPr>
        <xdr:cNvPr id="5" name="TextBox 4">
          <a:extLst>
            <a:ext uri="{FF2B5EF4-FFF2-40B4-BE49-F238E27FC236}">
              <a16:creationId xmlns:a16="http://schemas.microsoft.com/office/drawing/2014/main" xmlns="" id="{00000000-0008-0000-0700-000005000000}"/>
            </a:ext>
          </a:extLst>
        </xdr:cNvPr>
        <xdr:cNvSpPr txBox="1"/>
      </xdr:nvSpPr>
      <xdr:spPr>
        <a:xfrm>
          <a:off x="9826094774" y="4086225"/>
          <a:ext cx="581025" cy="285750"/>
        </a:xfrm>
        <a:prstGeom prst="rect">
          <a:avLst/>
        </a:prstGeom>
        <a:solidFill>
          <a:schemeClr val="accent5">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2C2973A7-C1BC-4C73-AFA9-3F95A78641FE}" type="TxLink">
            <a:rPr lang="he-IL" sz="1400"/>
            <a:pPr algn="ctr" rtl="1"/>
            <a:t>330</a:t>
          </a:fld>
          <a:endParaRPr lang="he-IL" sz="1400"/>
        </a:p>
      </xdr:txBody>
    </xdr:sp>
    <xdr:clientData/>
  </xdr:twoCellAnchor>
  <xdr:twoCellAnchor>
    <xdr:from>
      <xdr:col>7</xdr:col>
      <xdr:colOff>571500</xdr:colOff>
      <xdr:row>27</xdr:row>
      <xdr:rowOff>180976</xdr:rowOff>
    </xdr:from>
    <xdr:to>
      <xdr:col>10</xdr:col>
      <xdr:colOff>533400</xdr:colOff>
      <xdr:row>29</xdr:row>
      <xdr:rowOff>85726</xdr:rowOff>
    </xdr:to>
    <xdr:sp macro="" textlink="$B$11">
      <xdr:nvSpPr>
        <xdr:cNvPr id="6" name="TextBox 5">
          <a:extLst>
            <a:ext uri="{FF2B5EF4-FFF2-40B4-BE49-F238E27FC236}">
              <a16:creationId xmlns:a16="http://schemas.microsoft.com/office/drawing/2014/main" xmlns="" id="{00000000-0008-0000-0700-000006000000}"/>
            </a:ext>
          </a:extLst>
        </xdr:cNvPr>
        <xdr:cNvSpPr txBox="1"/>
      </xdr:nvSpPr>
      <xdr:spPr>
        <a:xfrm>
          <a:off x="9826085250" y="5553076"/>
          <a:ext cx="600075" cy="285750"/>
        </a:xfrm>
        <a:prstGeom prst="rect">
          <a:avLst/>
        </a:prstGeom>
        <a:solidFill>
          <a:schemeClr val="accent2">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4F785C29-7158-4BB2-9BAF-7A24FC395EA2}" type="TxLink">
            <a:rPr lang="he-IL" sz="1400">
              <a:latin typeface="+mn-lt"/>
            </a:rPr>
            <a:pPr algn="ctr" rtl="1"/>
            <a:t> </a:t>
          </a:fld>
          <a:endParaRPr lang="he-IL" sz="1400">
            <a:latin typeface="+mn-lt"/>
          </a:endParaRPr>
        </a:p>
      </xdr:txBody>
    </xdr:sp>
    <xdr:clientData/>
  </xdr:twoCellAnchor>
  <xdr:twoCellAnchor>
    <xdr:from>
      <xdr:col>7</xdr:col>
      <xdr:colOff>609600</xdr:colOff>
      <xdr:row>18</xdr:row>
      <xdr:rowOff>85726</xdr:rowOff>
    </xdr:from>
    <xdr:to>
      <xdr:col>10</xdr:col>
      <xdr:colOff>552450</xdr:colOff>
      <xdr:row>19</xdr:row>
      <xdr:rowOff>171450</xdr:rowOff>
    </xdr:to>
    <xdr:sp macro="" textlink="$B$12">
      <xdr:nvSpPr>
        <xdr:cNvPr id="7" name="TextBox 6">
          <a:extLst>
            <a:ext uri="{FF2B5EF4-FFF2-40B4-BE49-F238E27FC236}">
              <a16:creationId xmlns:a16="http://schemas.microsoft.com/office/drawing/2014/main" xmlns="" id="{00000000-0008-0000-0700-000007000000}"/>
            </a:ext>
          </a:extLst>
        </xdr:cNvPr>
        <xdr:cNvSpPr txBox="1"/>
      </xdr:nvSpPr>
      <xdr:spPr>
        <a:xfrm>
          <a:off x="9826066200" y="3743326"/>
          <a:ext cx="581025" cy="276224"/>
        </a:xfrm>
        <a:prstGeom prst="rect">
          <a:avLst/>
        </a:prstGeom>
        <a:solidFill>
          <a:schemeClr val="bg2">
            <a:lumMod val="75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5B93511B-02D6-4A86-9B5E-5F03F29C442D}" type="TxLink">
            <a:rPr lang="he-IL" sz="1400">
              <a:latin typeface="+mn-lt"/>
            </a:rPr>
            <a:pPr algn="ctr" rtl="1"/>
            <a:t>0</a:t>
          </a:fld>
          <a:endParaRPr lang="he-IL" sz="1400">
            <a:latin typeface="+mn-lt"/>
          </a:endParaRPr>
        </a:p>
      </xdr:txBody>
    </xdr:sp>
    <xdr:clientData/>
  </xdr:twoCellAnchor>
  <xdr:twoCellAnchor>
    <xdr:from>
      <xdr:col>11</xdr:col>
      <xdr:colOff>390526</xdr:colOff>
      <xdr:row>21</xdr:row>
      <xdr:rowOff>38101</xdr:rowOff>
    </xdr:from>
    <xdr:to>
      <xdr:col>11</xdr:col>
      <xdr:colOff>933451</xdr:colOff>
      <xdr:row>22</xdr:row>
      <xdr:rowOff>142876</xdr:rowOff>
    </xdr:to>
    <xdr:sp macro="" textlink="$J$6">
      <xdr:nvSpPr>
        <xdr:cNvPr id="8" name="TextBox 7">
          <a:extLst>
            <a:ext uri="{FF2B5EF4-FFF2-40B4-BE49-F238E27FC236}">
              <a16:creationId xmlns:a16="http://schemas.microsoft.com/office/drawing/2014/main" xmlns="" id="{00000000-0008-0000-0700-000008000000}"/>
            </a:ext>
          </a:extLst>
        </xdr:cNvPr>
        <xdr:cNvSpPr txBox="1"/>
      </xdr:nvSpPr>
      <xdr:spPr>
        <a:xfrm>
          <a:off x="9825085124" y="4267201"/>
          <a:ext cx="54292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EAEE5080-0849-4044-AE0D-67ADDEE83B3D}" type="TxLink">
            <a:rPr lang="he-IL" sz="1400" b="0" i="0" u="none" strike="noStrike">
              <a:solidFill>
                <a:srgbClr val="000000"/>
              </a:solidFill>
              <a:latin typeface="+mn-lt"/>
            </a:rPr>
            <a:pPr algn="ctr" rtl="1"/>
            <a:t>36.5</a:t>
          </a:fld>
          <a:endParaRPr lang="he-IL" sz="1400">
            <a:latin typeface="+mn-lt"/>
          </a:endParaRPr>
        </a:p>
      </xdr:txBody>
    </xdr:sp>
    <xdr:clientData/>
  </xdr:twoCellAnchor>
  <xdr:twoCellAnchor>
    <xdr:from>
      <xdr:col>7</xdr:col>
      <xdr:colOff>581026</xdr:colOff>
      <xdr:row>16</xdr:row>
      <xdr:rowOff>142875</xdr:rowOff>
    </xdr:from>
    <xdr:to>
      <xdr:col>10</xdr:col>
      <xdr:colOff>561976</xdr:colOff>
      <xdr:row>18</xdr:row>
      <xdr:rowOff>38100</xdr:rowOff>
    </xdr:to>
    <xdr:sp macro="" textlink="$B$2">
      <xdr:nvSpPr>
        <xdr:cNvPr id="9" name="TextBox 8">
          <a:extLst>
            <a:ext uri="{FF2B5EF4-FFF2-40B4-BE49-F238E27FC236}">
              <a16:creationId xmlns:a16="http://schemas.microsoft.com/office/drawing/2014/main" xmlns="" id="{00000000-0008-0000-0700-000009000000}"/>
            </a:ext>
          </a:extLst>
        </xdr:cNvPr>
        <xdr:cNvSpPr txBox="1"/>
      </xdr:nvSpPr>
      <xdr:spPr>
        <a:xfrm>
          <a:off x="9826056674" y="3419475"/>
          <a:ext cx="619125" cy="276225"/>
        </a:xfrm>
        <a:prstGeom prst="rect">
          <a:avLst/>
        </a:prstGeom>
        <a:solidFill>
          <a:schemeClr val="accent6">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a:fld id="{D47183DB-A5DE-49A0-91C6-15CB42E59586}" type="TxLink">
            <a:rPr lang="he-IL" sz="1400" b="1">
              <a:latin typeface="+mn-lt"/>
            </a:rPr>
            <a:pPr algn="ctr"/>
            <a:t>2407</a:t>
          </a:fld>
          <a:endParaRPr lang="en-US" sz="1400" b="1">
            <a:latin typeface="+mn-lt"/>
          </a:endParaRPr>
        </a:p>
      </xdr:txBody>
    </xdr:sp>
    <xdr:clientData/>
  </xdr:twoCellAnchor>
  <xdr:twoCellAnchor>
    <xdr:from>
      <xdr:col>6</xdr:col>
      <xdr:colOff>76200</xdr:colOff>
      <xdr:row>21</xdr:row>
      <xdr:rowOff>19051</xdr:rowOff>
    </xdr:from>
    <xdr:to>
      <xdr:col>7</xdr:col>
      <xdr:colOff>9525</xdr:colOff>
      <xdr:row>22</xdr:row>
      <xdr:rowOff>123826</xdr:rowOff>
    </xdr:to>
    <xdr:sp macro="" textlink="$J$6">
      <xdr:nvSpPr>
        <xdr:cNvPr id="10" name="TextBox 9">
          <a:extLst>
            <a:ext uri="{FF2B5EF4-FFF2-40B4-BE49-F238E27FC236}">
              <a16:creationId xmlns:a16="http://schemas.microsoft.com/office/drawing/2014/main" xmlns="" id="{00000000-0008-0000-0700-00000A000000}"/>
            </a:ext>
          </a:extLst>
        </xdr:cNvPr>
        <xdr:cNvSpPr txBox="1"/>
      </xdr:nvSpPr>
      <xdr:spPr>
        <a:xfrm>
          <a:off x="9827247300" y="4248151"/>
          <a:ext cx="533400"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1D2B9F4C-67F9-485F-B9A3-AB46934ABC1B}" type="TxLink">
            <a:rPr lang="he-IL" sz="1400" b="0" i="0" u="none" strike="noStrike">
              <a:solidFill>
                <a:srgbClr val="000000"/>
              </a:solidFill>
              <a:latin typeface="+mn-lt"/>
            </a:rPr>
            <a:pPr algn="ctr" rtl="1"/>
            <a:t>36.5</a:t>
          </a:fld>
          <a:endParaRPr lang="he-IL" sz="1400">
            <a:latin typeface="+mn-lt"/>
          </a:endParaRPr>
        </a:p>
      </xdr:txBody>
    </xdr:sp>
    <xdr:clientData/>
  </xdr:twoCellAnchor>
  <xdr:twoCellAnchor>
    <xdr:from>
      <xdr:col>2</xdr:col>
      <xdr:colOff>190499</xdr:colOff>
      <xdr:row>13</xdr:row>
      <xdr:rowOff>133350</xdr:rowOff>
    </xdr:from>
    <xdr:to>
      <xdr:col>6</xdr:col>
      <xdr:colOff>523874</xdr:colOff>
      <xdr:row>16</xdr:row>
      <xdr:rowOff>133349</xdr:rowOff>
    </xdr:to>
    <xdr:sp macro="" textlink="">
      <xdr:nvSpPr>
        <xdr:cNvPr id="14" name="TextBox 13">
          <a:extLst>
            <a:ext uri="{FF2B5EF4-FFF2-40B4-BE49-F238E27FC236}">
              <a16:creationId xmlns:a16="http://schemas.microsoft.com/office/drawing/2014/main" xmlns="" id="{00000000-0008-0000-0700-00000E000000}"/>
            </a:ext>
          </a:extLst>
        </xdr:cNvPr>
        <xdr:cNvSpPr txBox="1"/>
      </xdr:nvSpPr>
      <xdr:spPr>
        <a:xfrm>
          <a:off x="9827294926" y="1990725"/>
          <a:ext cx="3762375" cy="581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he-IL" sz="1100"/>
            <a:t>הצבעים המופיעים</a:t>
          </a:r>
          <a:r>
            <a:rPr lang="he-IL" sz="1100" baseline="0"/>
            <a:t> בטבלה הנ"ל משמשים כמקרא לתצוגת הצבעים והמשקלים המופיעים על איור המטוס (עם אותן יחידות משקל). למשל: משקל נוסעים אחוריים סומן בצבע סגול</a:t>
          </a:r>
          <a:endParaRPr lang="he-IL" sz="1100"/>
        </a:p>
      </xdr:txBody>
    </xdr:sp>
    <xdr:clientData/>
  </xdr:twoCellAnchor>
  <xdr:twoCellAnchor>
    <xdr:from>
      <xdr:col>4</xdr:col>
      <xdr:colOff>161925</xdr:colOff>
      <xdr:row>0</xdr:row>
      <xdr:rowOff>38100</xdr:rowOff>
    </xdr:from>
    <xdr:to>
      <xdr:col>5</xdr:col>
      <xdr:colOff>981074</xdr:colOff>
      <xdr:row>4</xdr:row>
      <xdr:rowOff>104775</xdr:rowOff>
    </xdr:to>
    <xdr:sp macro="" textlink="">
      <xdr:nvSpPr>
        <xdr:cNvPr id="15" name="TextBox 14">
          <a:extLst>
            <a:ext uri="{FF2B5EF4-FFF2-40B4-BE49-F238E27FC236}">
              <a16:creationId xmlns:a16="http://schemas.microsoft.com/office/drawing/2014/main" xmlns="" id="{00000000-0008-0000-0700-00000F000000}"/>
            </a:ext>
          </a:extLst>
        </xdr:cNvPr>
        <xdr:cNvSpPr txBox="1"/>
      </xdr:nvSpPr>
      <xdr:spPr>
        <a:xfrm>
          <a:off x="9828466501" y="38100"/>
          <a:ext cx="1419224" cy="876300"/>
        </a:xfrm>
        <a:prstGeom prst="rect">
          <a:avLst/>
        </a:prstGeom>
        <a:solidFill>
          <a:schemeClr val="lt1"/>
        </a:solidFill>
        <a:ln w="9525" cmpd="sng">
          <a:noFill/>
        </a:ln>
        <a:effectLst>
          <a:innerShdw blurRad="63500" dist="50800" dir="54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en-US" sz="4800"/>
            <a:t>CWV</a:t>
          </a:r>
          <a:endParaRPr lang="he-IL" sz="4800"/>
        </a:p>
      </xdr:txBody>
    </xdr:sp>
    <xdr:clientData/>
  </xdr:twoCellAnchor>
  <xdr:twoCellAnchor editAs="oneCell">
    <xdr:from>
      <xdr:col>5</xdr:col>
      <xdr:colOff>1342988</xdr:colOff>
      <xdr:row>0</xdr:row>
      <xdr:rowOff>171646</xdr:rowOff>
    </xdr:from>
    <xdr:to>
      <xdr:col>10</xdr:col>
      <xdr:colOff>139963</xdr:colOff>
      <xdr:row>6</xdr:row>
      <xdr:rowOff>123824</xdr:rowOff>
    </xdr:to>
    <xdr:pic>
      <xdr:nvPicPr>
        <xdr:cNvPr id="16" name="תמונה 15">
          <a:extLst>
            <a:ext uri="{FF2B5EF4-FFF2-40B4-BE49-F238E27FC236}">
              <a16:creationId xmlns:a16="http://schemas.microsoft.com/office/drawing/2014/main" xmlns="" id="{00000000-0008-0000-0700-00001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26440587" y="171646"/>
          <a:ext cx="1664000" cy="1180903"/>
        </a:xfrm>
        <a:prstGeom prst="rect">
          <a:avLst/>
        </a:prstGeom>
      </xdr:spPr>
    </xdr:pic>
    <xdr:clientData/>
  </xdr:twoCellAnchor>
  <xdr:twoCellAnchor>
    <xdr:from>
      <xdr:col>4</xdr:col>
      <xdr:colOff>333375</xdr:colOff>
      <xdr:row>5</xdr:row>
      <xdr:rowOff>28575</xdr:rowOff>
    </xdr:from>
    <xdr:to>
      <xdr:col>5</xdr:col>
      <xdr:colOff>981075</xdr:colOff>
      <xdr:row>11</xdr:row>
      <xdr:rowOff>66675</xdr:rowOff>
    </xdr:to>
    <xdr:sp macro="" textlink="'נתוני מטוסים'!P14">
      <xdr:nvSpPr>
        <xdr:cNvPr id="17" name="TextBox 16">
          <a:extLst>
            <a:ext uri="{FF2B5EF4-FFF2-40B4-BE49-F238E27FC236}">
              <a16:creationId xmlns:a16="http://schemas.microsoft.com/office/drawing/2014/main" xmlns="" id="{00000000-0008-0000-0700-000011000000}"/>
            </a:ext>
          </a:extLst>
        </xdr:cNvPr>
        <xdr:cNvSpPr txBox="1"/>
      </xdr:nvSpPr>
      <xdr:spPr>
        <a:xfrm>
          <a:off x="9828466500" y="1047750"/>
          <a:ext cx="1247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528FD39-BD5C-44B9-AE38-B137D7EEAA5D}" type="TxLink">
            <a:rPr lang="he-IL" sz="1100" b="0" i="0" u="none" strike="noStrike">
              <a:solidFill>
                <a:srgbClr val="000000"/>
              </a:solidFill>
              <a:latin typeface="Arial"/>
              <a:cs typeface="Arial"/>
            </a:rPr>
            <a:pPr algn="ctr" rtl="1"/>
            <a:t>20/06/2022 11:07</a:t>
          </a:fld>
          <a:endParaRPr lang="he-IL" sz="1100"/>
        </a:p>
      </xdr:txBody>
    </xdr:sp>
    <xdr:clientData/>
  </xdr:twoCellAnchor>
  <xdr:twoCellAnchor>
    <xdr:from>
      <xdr:col>7</xdr:col>
      <xdr:colOff>600075</xdr:colOff>
      <xdr:row>23</xdr:row>
      <xdr:rowOff>171449</xdr:rowOff>
    </xdr:from>
    <xdr:to>
      <xdr:col>10</xdr:col>
      <xdr:colOff>542925</xdr:colOff>
      <xdr:row>25</xdr:row>
      <xdr:rowOff>85724</xdr:rowOff>
    </xdr:to>
    <xdr:sp macro="" textlink="$J$8">
      <xdr:nvSpPr>
        <xdr:cNvPr id="2" name="TextBox 1">
          <a:extLst>
            <a:ext uri="{FF2B5EF4-FFF2-40B4-BE49-F238E27FC236}">
              <a16:creationId xmlns:a16="http://schemas.microsoft.com/office/drawing/2014/main" xmlns="" id="{00000000-0008-0000-0700-000002000000}"/>
            </a:ext>
          </a:extLst>
        </xdr:cNvPr>
        <xdr:cNvSpPr txBox="1"/>
      </xdr:nvSpPr>
      <xdr:spPr>
        <a:xfrm>
          <a:off x="9826075725" y="4781549"/>
          <a:ext cx="581025" cy="295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fld id="{49590842-C3FB-43C4-B4CC-E6E388C5108B}" type="TxLink">
            <a:rPr lang="en-US" sz="1400" b="0" i="0" u="none" strike="noStrike">
              <a:solidFill>
                <a:srgbClr val="000000"/>
              </a:solidFill>
              <a:latin typeface="Arial" panose="020B0604020202020204" pitchFamily="34" charset="0"/>
              <a:cs typeface="Arial" panose="020B0604020202020204" pitchFamily="34" charset="0"/>
            </a:rPr>
            <a:pPr algn="ctr" rtl="1"/>
            <a:t>0</a:t>
          </a:fld>
          <a:endParaRPr lang="en-US" sz="1400">
            <a:latin typeface="Arial" panose="020B0604020202020204" pitchFamily="34" charset="0"/>
            <a:cs typeface="Arial" panose="020B0604020202020204" pitchFamily="34" charset="0"/>
          </a:endParaRPr>
        </a:p>
      </xdr:txBody>
    </xdr:sp>
    <xdr:clientData/>
  </xdr:twoCellAnchor>
  <xdr:twoCellAnchor>
    <xdr:from>
      <xdr:col>7</xdr:col>
      <xdr:colOff>609600</xdr:colOff>
      <xdr:row>25</xdr:row>
      <xdr:rowOff>142875</xdr:rowOff>
    </xdr:from>
    <xdr:to>
      <xdr:col>10</xdr:col>
      <xdr:colOff>523875</xdr:colOff>
      <xdr:row>27</xdr:row>
      <xdr:rowOff>38100</xdr:rowOff>
    </xdr:to>
    <xdr:sp macro="" textlink="$J$10">
      <xdr:nvSpPr>
        <xdr:cNvPr id="11" name="TextBox 10">
          <a:extLst>
            <a:ext uri="{FF2B5EF4-FFF2-40B4-BE49-F238E27FC236}">
              <a16:creationId xmlns:a16="http://schemas.microsoft.com/office/drawing/2014/main" xmlns="" id="{00000000-0008-0000-0700-00000B000000}"/>
            </a:ext>
          </a:extLst>
        </xdr:cNvPr>
        <xdr:cNvSpPr txBox="1"/>
      </xdr:nvSpPr>
      <xdr:spPr>
        <a:xfrm>
          <a:off x="9826094775" y="5133975"/>
          <a:ext cx="552450" cy="2762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fld id="{650F331F-4820-47B8-9D48-04A2343147FC}" type="TxLink">
            <a:rPr lang="en-US" sz="1400" b="0" i="0" u="none" strike="noStrike">
              <a:solidFill>
                <a:srgbClr val="000000"/>
              </a:solidFill>
              <a:latin typeface="Arial" panose="020B0604020202020204" pitchFamily="34" charset="0"/>
              <a:cs typeface="Arial" panose="020B0604020202020204" pitchFamily="34" charset="0"/>
            </a:rPr>
            <a:pPr algn="ctr" rtl="1"/>
            <a:t>0</a:t>
          </a:fld>
          <a:endParaRPr lang="en-US" sz="140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228600</xdr:colOff>
      <xdr:row>13</xdr:row>
      <xdr:rowOff>85725</xdr:rowOff>
    </xdr:from>
    <xdr:to>
      <xdr:col>10</xdr:col>
      <xdr:colOff>585394</xdr:colOff>
      <xdr:row>28</xdr:row>
      <xdr:rowOff>142875</xdr:rowOff>
    </xdr:to>
    <xdr:pic>
      <xdr:nvPicPr>
        <xdr:cNvPr id="18" name="תמונה 17" descr="fl_c17211111.jpg">
          <a:extLst>
            <a:ext uri="{FF2B5EF4-FFF2-40B4-BE49-F238E27FC236}">
              <a16:creationId xmlns:a16="http://schemas.microsoft.com/office/drawing/2014/main" xmlns="" id="{00000000-0008-0000-0800-000012000000}"/>
            </a:ext>
          </a:extLst>
        </xdr:cNvPr>
        <xdr:cNvPicPr>
          <a:picLocks noChangeAspect="1"/>
        </xdr:cNvPicPr>
      </xdr:nvPicPr>
      <xdr:blipFill>
        <a:blip xmlns:r="http://schemas.openxmlformats.org/officeDocument/2006/relationships" r:embed="rId1" cstate="print"/>
        <a:stretch>
          <a:fillRect/>
        </a:stretch>
      </xdr:blipFill>
      <xdr:spPr>
        <a:xfrm>
          <a:off x="11229837281" y="2686050"/>
          <a:ext cx="3585769" cy="2819400"/>
        </a:xfrm>
        <a:prstGeom prst="rect">
          <a:avLst/>
        </a:prstGeom>
        <a:noFill/>
        <a:ln>
          <a:noFill/>
        </a:ln>
      </xdr:spPr>
    </xdr:pic>
    <xdr:clientData/>
  </xdr:twoCellAnchor>
  <xdr:twoCellAnchor>
    <xdr:from>
      <xdr:col>1</xdr:col>
      <xdr:colOff>38100</xdr:colOff>
      <xdr:row>13</xdr:row>
      <xdr:rowOff>133350</xdr:rowOff>
    </xdr:from>
    <xdr:to>
      <xdr:col>5</xdr:col>
      <xdr:colOff>238125</xdr:colOff>
      <xdr:row>25</xdr:row>
      <xdr:rowOff>0</xdr:rowOff>
    </xdr:to>
    <xdr:graphicFrame macro="">
      <xdr:nvGraphicFramePr>
        <xdr:cNvPr id="3" name="תרשים 2">
          <a:extLst>
            <a:ext uri="{FF2B5EF4-FFF2-40B4-BE49-F238E27FC236}">
              <a16:creationId xmlns:a16="http://schemas.microsoft.com/office/drawing/2014/main" xmlns=""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1790700</xdr:colOff>
      <xdr:row>18</xdr:row>
      <xdr:rowOff>133351</xdr:rowOff>
    </xdr:from>
    <xdr:to>
      <xdr:col>6</xdr:col>
      <xdr:colOff>428625</xdr:colOff>
      <xdr:row>20</xdr:row>
      <xdr:rowOff>47625</xdr:rowOff>
    </xdr:to>
    <xdr:sp macro="" textlink="$J$4">
      <xdr:nvSpPr>
        <xdr:cNvPr id="4" name="TextBox 3">
          <a:extLst>
            <a:ext uri="{FF2B5EF4-FFF2-40B4-BE49-F238E27FC236}">
              <a16:creationId xmlns:a16="http://schemas.microsoft.com/office/drawing/2014/main" xmlns="" id="{00000000-0008-0000-0800-000004000000}"/>
            </a:ext>
          </a:extLst>
        </xdr:cNvPr>
        <xdr:cNvSpPr txBox="1"/>
      </xdr:nvSpPr>
      <xdr:spPr>
        <a:xfrm>
          <a:off x="11231365650" y="3667126"/>
          <a:ext cx="495300" cy="285749"/>
        </a:xfrm>
        <a:prstGeom prst="rect">
          <a:avLst/>
        </a:prstGeom>
        <a:solidFill>
          <a:schemeClr val="accent4">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A16A665-469A-4A49-96A6-C1CEE2543FE1}" type="TxLink">
            <a:rPr lang="he-IL" sz="1400" b="0" i="0" u="none" strike="noStrike">
              <a:solidFill>
                <a:srgbClr val="000000"/>
              </a:solidFill>
              <a:latin typeface="+mn-lt"/>
            </a:rPr>
            <a:pPr algn="ctr" rtl="1"/>
            <a:t>0</a:t>
          </a:fld>
          <a:endParaRPr lang="he-IL" sz="1400">
            <a:latin typeface="+mn-lt"/>
          </a:endParaRPr>
        </a:p>
      </xdr:txBody>
    </xdr:sp>
    <xdr:clientData/>
  </xdr:twoCellAnchor>
  <xdr:twoCellAnchor>
    <xdr:from>
      <xdr:col>5</xdr:col>
      <xdr:colOff>1771650</xdr:colOff>
      <xdr:row>16</xdr:row>
      <xdr:rowOff>104775</xdr:rowOff>
    </xdr:from>
    <xdr:to>
      <xdr:col>6</xdr:col>
      <xdr:colOff>419100</xdr:colOff>
      <xdr:row>18</xdr:row>
      <xdr:rowOff>9525</xdr:rowOff>
    </xdr:to>
    <xdr:sp macro="" textlink="$J$2">
      <xdr:nvSpPr>
        <xdr:cNvPr id="5" name="TextBox 4">
          <a:extLst>
            <a:ext uri="{FF2B5EF4-FFF2-40B4-BE49-F238E27FC236}">
              <a16:creationId xmlns:a16="http://schemas.microsoft.com/office/drawing/2014/main" xmlns="" id="{00000000-0008-0000-0800-000005000000}"/>
            </a:ext>
          </a:extLst>
        </xdr:cNvPr>
        <xdr:cNvSpPr txBox="1"/>
      </xdr:nvSpPr>
      <xdr:spPr>
        <a:xfrm>
          <a:off x="11231375175" y="3257550"/>
          <a:ext cx="504825" cy="285750"/>
        </a:xfrm>
        <a:prstGeom prst="rect">
          <a:avLst/>
        </a:prstGeom>
        <a:solidFill>
          <a:schemeClr val="accent5">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2C2973A7-C1BC-4C73-AFA9-3F95A78641FE}" type="TxLink">
            <a:rPr lang="he-IL" sz="1400" b="0" i="0" u="none" strike="noStrike">
              <a:solidFill>
                <a:srgbClr val="000000"/>
              </a:solidFill>
              <a:latin typeface="Arialri"/>
            </a:rPr>
            <a:pPr algn="ctr" rtl="1"/>
            <a:t>380</a:t>
          </a:fld>
          <a:endParaRPr lang="he-IL" sz="1400"/>
        </a:p>
      </xdr:txBody>
    </xdr:sp>
    <xdr:clientData/>
  </xdr:twoCellAnchor>
  <xdr:twoCellAnchor>
    <xdr:from>
      <xdr:col>5</xdr:col>
      <xdr:colOff>1809750</xdr:colOff>
      <xdr:row>20</xdr:row>
      <xdr:rowOff>161926</xdr:rowOff>
    </xdr:from>
    <xdr:to>
      <xdr:col>6</xdr:col>
      <xdr:colOff>400050</xdr:colOff>
      <xdr:row>22</xdr:row>
      <xdr:rowOff>76201</xdr:rowOff>
    </xdr:to>
    <xdr:sp macro="" textlink="$B$7">
      <xdr:nvSpPr>
        <xdr:cNvPr id="6" name="TextBox 5">
          <a:extLst>
            <a:ext uri="{FF2B5EF4-FFF2-40B4-BE49-F238E27FC236}">
              <a16:creationId xmlns:a16="http://schemas.microsoft.com/office/drawing/2014/main" xmlns="" id="{00000000-0008-0000-0800-000006000000}"/>
            </a:ext>
          </a:extLst>
        </xdr:cNvPr>
        <xdr:cNvSpPr txBox="1"/>
      </xdr:nvSpPr>
      <xdr:spPr>
        <a:xfrm>
          <a:off x="11231394225" y="4067176"/>
          <a:ext cx="447675" cy="285750"/>
        </a:xfrm>
        <a:prstGeom prst="rect">
          <a:avLst/>
        </a:prstGeom>
        <a:solidFill>
          <a:schemeClr val="accent2">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4F785C29-7158-4BB2-9BAF-7A24FC395EA2}" type="TxLink">
            <a:rPr lang="he-IL" sz="1400">
              <a:latin typeface="+mn-lt"/>
            </a:rPr>
            <a:pPr algn="ctr" rtl="1"/>
            <a:t> </a:t>
          </a:fld>
          <a:endParaRPr lang="he-IL" sz="1400">
            <a:latin typeface="+mn-lt"/>
          </a:endParaRPr>
        </a:p>
      </xdr:txBody>
    </xdr:sp>
    <xdr:clientData/>
  </xdr:twoCellAnchor>
  <xdr:twoCellAnchor>
    <xdr:from>
      <xdr:col>5</xdr:col>
      <xdr:colOff>1809750</xdr:colOff>
      <xdr:row>22</xdr:row>
      <xdr:rowOff>114301</xdr:rowOff>
    </xdr:from>
    <xdr:to>
      <xdr:col>6</xdr:col>
      <xdr:colOff>400050</xdr:colOff>
      <xdr:row>24</xdr:row>
      <xdr:rowOff>38101</xdr:rowOff>
    </xdr:to>
    <xdr:sp macro="" textlink="$B$8">
      <xdr:nvSpPr>
        <xdr:cNvPr id="7" name="TextBox 6">
          <a:extLst>
            <a:ext uri="{FF2B5EF4-FFF2-40B4-BE49-F238E27FC236}">
              <a16:creationId xmlns:a16="http://schemas.microsoft.com/office/drawing/2014/main" xmlns="" id="{00000000-0008-0000-0800-000007000000}"/>
            </a:ext>
          </a:extLst>
        </xdr:cNvPr>
        <xdr:cNvSpPr txBox="1"/>
      </xdr:nvSpPr>
      <xdr:spPr>
        <a:xfrm>
          <a:off x="11231394225" y="4391026"/>
          <a:ext cx="447675" cy="285750"/>
        </a:xfrm>
        <a:prstGeom prst="rect">
          <a:avLst/>
        </a:prstGeom>
        <a:solidFill>
          <a:schemeClr val="bg2">
            <a:lumMod val="75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5B93511B-02D6-4A86-9B5E-5F03F29C442D}" type="TxLink">
            <a:rPr lang="he-IL" sz="1400">
              <a:latin typeface="+mn-lt"/>
            </a:rPr>
            <a:pPr algn="ctr" rtl="1"/>
            <a:t> </a:t>
          </a:fld>
          <a:endParaRPr lang="he-IL" sz="1400">
            <a:latin typeface="+mn-lt"/>
          </a:endParaRPr>
        </a:p>
      </xdr:txBody>
    </xdr:sp>
    <xdr:clientData/>
  </xdr:twoCellAnchor>
  <xdr:twoCellAnchor>
    <xdr:from>
      <xdr:col>7</xdr:col>
      <xdr:colOff>476250</xdr:colOff>
      <xdr:row>17</xdr:row>
      <xdr:rowOff>114301</xdr:rowOff>
    </xdr:from>
    <xdr:to>
      <xdr:col>10</xdr:col>
      <xdr:colOff>333375</xdr:colOff>
      <xdr:row>19</xdr:row>
      <xdr:rowOff>28576</xdr:rowOff>
    </xdr:to>
    <xdr:sp macro="" textlink="$J$6">
      <xdr:nvSpPr>
        <xdr:cNvPr id="8" name="TextBox 7">
          <a:extLst>
            <a:ext uri="{FF2B5EF4-FFF2-40B4-BE49-F238E27FC236}">
              <a16:creationId xmlns:a16="http://schemas.microsoft.com/office/drawing/2014/main" xmlns="" id="{00000000-0008-0000-0800-000008000000}"/>
            </a:ext>
          </a:extLst>
        </xdr:cNvPr>
        <xdr:cNvSpPr txBox="1"/>
      </xdr:nvSpPr>
      <xdr:spPr>
        <a:xfrm>
          <a:off x="11230089300" y="3457576"/>
          <a:ext cx="54292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EAEE5080-0849-4044-AE0D-67ADDEE83B3D}" type="TxLink">
            <a:rPr lang="he-IL" sz="1400">
              <a:latin typeface="+mn-lt"/>
            </a:rPr>
            <a:pPr algn="ctr" rtl="1"/>
            <a:t>17.5</a:t>
          </a:fld>
          <a:endParaRPr lang="he-IL" sz="1400">
            <a:latin typeface="+mn-lt"/>
          </a:endParaRPr>
        </a:p>
      </xdr:txBody>
    </xdr:sp>
    <xdr:clientData/>
  </xdr:twoCellAnchor>
  <xdr:twoCellAnchor>
    <xdr:from>
      <xdr:col>5</xdr:col>
      <xdr:colOff>1495425</xdr:colOff>
      <xdr:row>14</xdr:row>
      <xdr:rowOff>47625</xdr:rowOff>
    </xdr:from>
    <xdr:to>
      <xdr:col>6</xdr:col>
      <xdr:colOff>561975</xdr:colOff>
      <xdr:row>15</xdr:row>
      <xdr:rowOff>133350</xdr:rowOff>
    </xdr:to>
    <xdr:sp macro="" textlink="$B$2">
      <xdr:nvSpPr>
        <xdr:cNvPr id="9" name="TextBox 8">
          <a:extLst>
            <a:ext uri="{FF2B5EF4-FFF2-40B4-BE49-F238E27FC236}">
              <a16:creationId xmlns:a16="http://schemas.microsoft.com/office/drawing/2014/main" xmlns="" id="{00000000-0008-0000-0800-000009000000}"/>
            </a:ext>
          </a:extLst>
        </xdr:cNvPr>
        <xdr:cNvSpPr txBox="1"/>
      </xdr:nvSpPr>
      <xdr:spPr>
        <a:xfrm>
          <a:off x="9827256825" y="2867025"/>
          <a:ext cx="695325" cy="276225"/>
        </a:xfrm>
        <a:prstGeom prst="rect">
          <a:avLst/>
        </a:prstGeom>
        <a:solidFill>
          <a:schemeClr val="accent6">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a:fld id="{D47183DB-A5DE-49A0-91C6-15CB42E59586}" type="TxLink">
            <a:rPr lang="he-IL" sz="1400" b="1" i="0" u="none" strike="noStrike">
              <a:solidFill>
                <a:srgbClr val="000000"/>
              </a:solidFill>
              <a:latin typeface="+mn-lt"/>
            </a:rPr>
            <a:pPr algn="ctr"/>
            <a:t>1497</a:t>
          </a:fld>
          <a:endParaRPr lang="en-US" sz="1400" b="1">
            <a:latin typeface="+mn-lt"/>
          </a:endParaRPr>
        </a:p>
      </xdr:txBody>
    </xdr:sp>
    <xdr:clientData/>
  </xdr:twoCellAnchor>
  <xdr:twoCellAnchor>
    <xdr:from>
      <xdr:col>5</xdr:col>
      <xdr:colOff>571500</xdr:colOff>
      <xdr:row>17</xdr:row>
      <xdr:rowOff>95251</xdr:rowOff>
    </xdr:from>
    <xdr:to>
      <xdr:col>5</xdr:col>
      <xdr:colOff>1104900</xdr:colOff>
      <xdr:row>19</xdr:row>
      <xdr:rowOff>9526</xdr:rowOff>
    </xdr:to>
    <xdr:sp macro="" textlink="$J$6">
      <xdr:nvSpPr>
        <xdr:cNvPr id="10" name="TextBox 9">
          <a:extLst>
            <a:ext uri="{FF2B5EF4-FFF2-40B4-BE49-F238E27FC236}">
              <a16:creationId xmlns:a16="http://schemas.microsoft.com/office/drawing/2014/main" xmlns="" id="{00000000-0008-0000-0800-00000A000000}"/>
            </a:ext>
          </a:extLst>
        </xdr:cNvPr>
        <xdr:cNvSpPr txBox="1"/>
      </xdr:nvSpPr>
      <xdr:spPr>
        <a:xfrm>
          <a:off x="11232546750" y="3438526"/>
          <a:ext cx="533400"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1D2B9F4C-67F9-485F-B9A3-AB46934ABC1B}" type="TxLink">
            <a:rPr lang="he-IL" sz="1400">
              <a:latin typeface="+mn-lt"/>
            </a:rPr>
            <a:pPr algn="ctr" rtl="1"/>
            <a:t>17.5</a:t>
          </a:fld>
          <a:endParaRPr lang="he-IL" sz="1400">
            <a:latin typeface="+mn-lt"/>
          </a:endParaRPr>
        </a:p>
      </xdr:txBody>
    </xdr:sp>
    <xdr:clientData/>
  </xdr:twoCellAnchor>
  <xdr:twoCellAnchor>
    <xdr:from>
      <xdr:col>2</xdr:col>
      <xdr:colOff>190499</xdr:colOff>
      <xdr:row>10</xdr:row>
      <xdr:rowOff>9525</xdr:rowOff>
    </xdr:from>
    <xdr:to>
      <xdr:col>6</xdr:col>
      <xdr:colOff>523874</xdr:colOff>
      <xdr:row>13</xdr:row>
      <xdr:rowOff>19049</xdr:rowOff>
    </xdr:to>
    <xdr:sp macro="" textlink="">
      <xdr:nvSpPr>
        <xdr:cNvPr id="14" name="TextBox 13">
          <a:extLst>
            <a:ext uri="{FF2B5EF4-FFF2-40B4-BE49-F238E27FC236}">
              <a16:creationId xmlns:a16="http://schemas.microsoft.com/office/drawing/2014/main" xmlns="" id="{00000000-0008-0000-0800-00000E000000}"/>
            </a:ext>
          </a:extLst>
        </xdr:cNvPr>
        <xdr:cNvSpPr txBox="1"/>
      </xdr:nvSpPr>
      <xdr:spPr>
        <a:xfrm>
          <a:off x="11232642001" y="2047875"/>
          <a:ext cx="4248150" cy="571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he-IL" sz="1100"/>
            <a:t>הצבעים המופיעים</a:t>
          </a:r>
          <a:r>
            <a:rPr lang="he-IL" sz="1100" baseline="0"/>
            <a:t> בטבלה הנ"ל משמשים כמקרא לתצוגת הצבעים והמשקלים המופיעים על איור המטוס (עם אותן יחידות משקל). למשל: משקל נוסעים אחוריים סומן בצבע סגול</a:t>
          </a:r>
          <a:endParaRPr lang="he-IL" sz="1100"/>
        </a:p>
      </xdr:txBody>
    </xdr:sp>
    <xdr:clientData/>
  </xdr:twoCellAnchor>
  <xdr:twoCellAnchor>
    <xdr:from>
      <xdr:col>4</xdr:col>
      <xdr:colOff>257175</xdr:colOff>
      <xdr:row>0</xdr:row>
      <xdr:rowOff>38100</xdr:rowOff>
    </xdr:from>
    <xdr:to>
      <xdr:col>5</xdr:col>
      <xdr:colOff>1009650</xdr:colOff>
      <xdr:row>4</xdr:row>
      <xdr:rowOff>104775</xdr:rowOff>
    </xdr:to>
    <xdr:sp macro="" textlink="">
      <xdr:nvSpPr>
        <xdr:cNvPr id="15" name="TextBox 14">
          <a:extLst>
            <a:ext uri="{FF2B5EF4-FFF2-40B4-BE49-F238E27FC236}">
              <a16:creationId xmlns:a16="http://schemas.microsoft.com/office/drawing/2014/main" xmlns="" id="{00000000-0008-0000-0800-00000F000000}"/>
            </a:ext>
          </a:extLst>
        </xdr:cNvPr>
        <xdr:cNvSpPr txBox="1"/>
      </xdr:nvSpPr>
      <xdr:spPr>
        <a:xfrm>
          <a:off x="11232642000" y="38100"/>
          <a:ext cx="1438275" cy="866775"/>
        </a:xfrm>
        <a:prstGeom prst="rect">
          <a:avLst/>
        </a:prstGeom>
        <a:solidFill>
          <a:schemeClr val="lt1"/>
        </a:solidFill>
        <a:ln w="9525" cmpd="sng">
          <a:noFill/>
        </a:ln>
        <a:effectLst>
          <a:innerShdw blurRad="63500" dist="50800" dir="54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en-US" sz="4800"/>
            <a:t>CDJ</a:t>
          </a:r>
          <a:r>
            <a:rPr lang="he-IL" sz="4800"/>
            <a:t> </a:t>
          </a:r>
        </a:p>
      </xdr:txBody>
    </xdr:sp>
    <xdr:clientData/>
  </xdr:twoCellAnchor>
  <xdr:twoCellAnchor>
    <xdr:from>
      <xdr:col>4</xdr:col>
      <xdr:colOff>295275</xdr:colOff>
      <xdr:row>4</xdr:row>
      <xdr:rowOff>180975</xdr:rowOff>
    </xdr:from>
    <xdr:to>
      <xdr:col>5</xdr:col>
      <xdr:colOff>952500</xdr:colOff>
      <xdr:row>6</xdr:row>
      <xdr:rowOff>95250</xdr:rowOff>
    </xdr:to>
    <xdr:sp macro="" textlink="'נתוני מטוסים'!P14">
      <xdr:nvSpPr>
        <xdr:cNvPr id="17" name="TextBox 16">
          <a:extLst>
            <a:ext uri="{FF2B5EF4-FFF2-40B4-BE49-F238E27FC236}">
              <a16:creationId xmlns:a16="http://schemas.microsoft.com/office/drawing/2014/main" xmlns="" id="{00000000-0008-0000-0800-000011000000}"/>
            </a:ext>
          </a:extLst>
        </xdr:cNvPr>
        <xdr:cNvSpPr txBox="1"/>
      </xdr:nvSpPr>
      <xdr:spPr>
        <a:xfrm>
          <a:off x="11232699150" y="981075"/>
          <a:ext cx="13430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528FD39-BD5C-44B9-AE38-B137D7EEAA5D}" type="TxLink">
            <a:rPr lang="he-IL" sz="1100" b="0" i="0" u="none" strike="noStrike">
              <a:solidFill>
                <a:srgbClr val="000000"/>
              </a:solidFill>
              <a:latin typeface="Arial"/>
              <a:cs typeface="Arial"/>
            </a:rPr>
            <a:pPr algn="ctr" rtl="1"/>
            <a:t>20/06/2022 11:07</a:t>
          </a:fld>
          <a:endParaRPr lang="he-IL" sz="1100"/>
        </a:p>
      </xdr:txBody>
    </xdr:sp>
    <xdr:clientData/>
  </xdr:twoCellAnchor>
  <xdr:twoCellAnchor editAs="oneCell">
    <xdr:from>
      <xdr:col>5</xdr:col>
      <xdr:colOff>1333500</xdr:colOff>
      <xdr:row>0</xdr:row>
      <xdr:rowOff>133350</xdr:rowOff>
    </xdr:from>
    <xdr:to>
      <xdr:col>10</xdr:col>
      <xdr:colOff>168575</xdr:colOff>
      <xdr:row>6</xdr:row>
      <xdr:rowOff>85528</xdr:rowOff>
    </xdr:to>
    <xdr:pic>
      <xdr:nvPicPr>
        <xdr:cNvPr id="19" name="תמונה 18">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26450075" y="133350"/>
          <a:ext cx="1664000" cy="11809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228600</xdr:colOff>
      <xdr:row>13</xdr:row>
      <xdr:rowOff>85725</xdr:rowOff>
    </xdr:from>
    <xdr:to>
      <xdr:col>10</xdr:col>
      <xdr:colOff>585394</xdr:colOff>
      <xdr:row>28</xdr:row>
      <xdr:rowOff>142875</xdr:rowOff>
    </xdr:to>
    <xdr:pic>
      <xdr:nvPicPr>
        <xdr:cNvPr id="19" name="תמונה 18" descr="fl_c17211111.jpg">
          <a:extLst>
            <a:ext uri="{FF2B5EF4-FFF2-40B4-BE49-F238E27FC236}">
              <a16:creationId xmlns:a16="http://schemas.microsoft.com/office/drawing/2014/main" xmlns="" id="{00000000-0008-0000-0900-000013000000}"/>
            </a:ext>
          </a:extLst>
        </xdr:cNvPr>
        <xdr:cNvPicPr>
          <a:picLocks noChangeAspect="1"/>
        </xdr:cNvPicPr>
      </xdr:nvPicPr>
      <xdr:blipFill>
        <a:blip xmlns:r="http://schemas.openxmlformats.org/officeDocument/2006/relationships" r:embed="rId1" cstate="print"/>
        <a:stretch>
          <a:fillRect/>
        </a:stretch>
      </xdr:blipFill>
      <xdr:spPr>
        <a:xfrm>
          <a:off x="11229837281" y="2686050"/>
          <a:ext cx="3585769" cy="2819400"/>
        </a:xfrm>
        <a:prstGeom prst="rect">
          <a:avLst/>
        </a:prstGeom>
        <a:noFill/>
        <a:ln>
          <a:noFill/>
        </a:ln>
      </xdr:spPr>
    </xdr:pic>
    <xdr:clientData/>
  </xdr:twoCellAnchor>
  <xdr:twoCellAnchor>
    <xdr:from>
      <xdr:col>1</xdr:col>
      <xdr:colOff>19049</xdr:colOff>
      <xdr:row>13</xdr:row>
      <xdr:rowOff>152400</xdr:rowOff>
    </xdr:from>
    <xdr:to>
      <xdr:col>5</xdr:col>
      <xdr:colOff>209549</xdr:colOff>
      <xdr:row>25</xdr:row>
      <xdr:rowOff>19050</xdr:rowOff>
    </xdr:to>
    <xdr:graphicFrame macro="">
      <xdr:nvGraphicFramePr>
        <xdr:cNvPr id="3" name="תרשים 2">
          <a:extLst>
            <a:ext uri="{FF2B5EF4-FFF2-40B4-BE49-F238E27FC236}">
              <a16:creationId xmlns:a16="http://schemas.microsoft.com/office/drawing/2014/main" xmlns=""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1571625</xdr:colOff>
      <xdr:row>18</xdr:row>
      <xdr:rowOff>104776</xdr:rowOff>
    </xdr:from>
    <xdr:to>
      <xdr:col>6</xdr:col>
      <xdr:colOff>447675</xdr:colOff>
      <xdr:row>20</xdr:row>
      <xdr:rowOff>19050</xdr:rowOff>
    </xdr:to>
    <xdr:sp macro="" textlink="$J$4">
      <xdr:nvSpPr>
        <xdr:cNvPr id="4" name="TextBox 3">
          <a:extLst>
            <a:ext uri="{FF2B5EF4-FFF2-40B4-BE49-F238E27FC236}">
              <a16:creationId xmlns:a16="http://schemas.microsoft.com/office/drawing/2014/main" xmlns="" id="{00000000-0008-0000-0900-000004000000}"/>
            </a:ext>
          </a:extLst>
        </xdr:cNvPr>
        <xdr:cNvSpPr txBox="1"/>
      </xdr:nvSpPr>
      <xdr:spPr>
        <a:xfrm>
          <a:off x="9827371125" y="3686176"/>
          <a:ext cx="504825" cy="295274"/>
        </a:xfrm>
        <a:prstGeom prst="rect">
          <a:avLst/>
        </a:prstGeom>
        <a:solidFill>
          <a:schemeClr val="accent4">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A16A665-469A-4A49-96A6-C1CEE2543FE1}" type="TxLink">
            <a:rPr lang="he-IL" sz="1400" b="0" i="0" u="none" strike="noStrike">
              <a:solidFill>
                <a:srgbClr val="000000"/>
              </a:solidFill>
              <a:latin typeface="+mn-lt"/>
              <a:cs typeface="Arial"/>
            </a:rPr>
            <a:pPr algn="ctr" rtl="1"/>
            <a:t>0</a:t>
          </a:fld>
          <a:endParaRPr lang="he-IL" sz="1400">
            <a:latin typeface="+mn-lt"/>
          </a:endParaRPr>
        </a:p>
      </xdr:txBody>
    </xdr:sp>
    <xdr:clientData/>
  </xdr:twoCellAnchor>
  <xdr:twoCellAnchor>
    <xdr:from>
      <xdr:col>5</xdr:col>
      <xdr:colOff>1495425</xdr:colOff>
      <xdr:row>16</xdr:row>
      <xdr:rowOff>114300</xdr:rowOff>
    </xdr:from>
    <xdr:to>
      <xdr:col>6</xdr:col>
      <xdr:colOff>447675</xdr:colOff>
      <xdr:row>18</xdr:row>
      <xdr:rowOff>19050</xdr:rowOff>
    </xdr:to>
    <xdr:sp macro="" textlink="$J$2">
      <xdr:nvSpPr>
        <xdr:cNvPr id="5" name="TextBox 4">
          <a:extLst>
            <a:ext uri="{FF2B5EF4-FFF2-40B4-BE49-F238E27FC236}">
              <a16:creationId xmlns:a16="http://schemas.microsoft.com/office/drawing/2014/main" xmlns="" id="{00000000-0008-0000-0900-000005000000}"/>
            </a:ext>
          </a:extLst>
        </xdr:cNvPr>
        <xdr:cNvSpPr txBox="1"/>
      </xdr:nvSpPr>
      <xdr:spPr>
        <a:xfrm>
          <a:off x="9827371125" y="3314700"/>
          <a:ext cx="581025" cy="285750"/>
        </a:xfrm>
        <a:prstGeom prst="rect">
          <a:avLst/>
        </a:prstGeom>
        <a:solidFill>
          <a:schemeClr val="accent5">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2C2973A7-C1BC-4C73-AFA9-3F95A78641FE}" type="TxLink">
            <a:rPr lang="he-IL" sz="1400" b="0" i="0" u="none" strike="noStrike">
              <a:solidFill>
                <a:srgbClr val="000000"/>
              </a:solidFill>
              <a:latin typeface="Arial"/>
              <a:cs typeface="Arial"/>
            </a:rPr>
            <a:pPr algn="ctr" rtl="1"/>
            <a:t>0</a:t>
          </a:fld>
          <a:endParaRPr lang="he-IL" sz="1400"/>
        </a:p>
      </xdr:txBody>
    </xdr:sp>
    <xdr:clientData/>
  </xdr:twoCellAnchor>
  <xdr:twoCellAnchor>
    <xdr:from>
      <xdr:col>5</xdr:col>
      <xdr:colOff>1524001</xdr:colOff>
      <xdr:row>20</xdr:row>
      <xdr:rowOff>161926</xdr:rowOff>
    </xdr:from>
    <xdr:to>
      <xdr:col>6</xdr:col>
      <xdr:colOff>400051</xdr:colOff>
      <xdr:row>22</xdr:row>
      <xdr:rowOff>76201</xdr:rowOff>
    </xdr:to>
    <xdr:sp macro="" textlink="$B$7">
      <xdr:nvSpPr>
        <xdr:cNvPr id="6" name="TextBox 5">
          <a:extLst>
            <a:ext uri="{FF2B5EF4-FFF2-40B4-BE49-F238E27FC236}">
              <a16:creationId xmlns:a16="http://schemas.microsoft.com/office/drawing/2014/main" xmlns="" id="{00000000-0008-0000-0900-000006000000}"/>
            </a:ext>
          </a:extLst>
        </xdr:cNvPr>
        <xdr:cNvSpPr txBox="1"/>
      </xdr:nvSpPr>
      <xdr:spPr>
        <a:xfrm>
          <a:off x="9827418749" y="4124326"/>
          <a:ext cx="504825" cy="295275"/>
        </a:xfrm>
        <a:prstGeom prst="rect">
          <a:avLst/>
        </a:prstGeom>
        <a:solidFill>
          <a:schemeClr val="accent2">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4F785C29-7158-4BB2-9BAF-7A24FC395EA2}" type="TxLink">
            <a:rPr lang="he-IL" sz="1400" b="0" i="0" u="none" strike="noStrike">
              <a:solidFill>
                <a:srgbClr val="000000"/>
              </a:solidFill>
              <a:latin typeface="+mn-lt"/>
              <a:cs typeface="Arial"/>
            </a:rPr>
            <a:pPr algn="ctr" rtl="1"/>
            <a:t> </a:t>
          </a:fld>
          <a:endParaRPr lang="he-IL" sz="1400">
            <a:latin typeface="+mn-lt"/>
          </a:endParaRPr>
        </a:p>
      </xdr:txBody>
    </xdr:sp>
    <xdr:clientData/>
  </xdr:twoCellAnchor>
  <xdr:twoCellAnchor>
    <xdr:from>
      <xdr:col>5</xdr:col>
      <xdr:colOff>1809750</xdr:colOff>
      <xdr:row>22</xdr:row>
      <xdr:rowOff>142876</xdr:rowOff>
    </xdr:from>
    <xdr:to>
      <xdr:col>6</xdr:col>
      <xdr:colOff>400050</xdr:colOff>
      <xdr:row>24</xdr:row>
      <xdr:rowOff>66676</xdr:rowOff>
    </xdr:to>
    <xdr:sp macro="" textlink="$B$8">
      <xdr:nvSpPr>
        <xdr:cNvPr id="7" name="TextBox 6">
          <a:extLst>
            <a:ext uri="{FF2B5EF4-FFF2-40B4-BE49-F238E27FC236}">
              <a16:creationId xmlns:a16="http://schemas.microsoft.com/office/drawing/2014/main" xmlns="" id="{00000000-0008-0000-0900-000007000000}"/>
            </a:ext>
          </a:extLst>
        </xdr:cNvPr>
        <xdr:cNvSpPr txBox="1"/>
      </xdr:nvSpPr>
      <xdr:spPr>
        <a:xfrm>
          <a:off x="11231394225" y="4419601"/>
          <a:ext cx="447675" cy="285750"/>
        </a:xfrm>
        <a:prstGeom prst="rect">
          <a:avLst/>
        </a:prstGeom>
        <a:solidFill>
          <a:schemeClr val="bg2">
            <a:lumMod val="75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5B93511B-02D6-4A86-9B5E-5F03F29C442D}" type="TxLink">
            <a:rPr lang="he-IL" sz="1400" b="0" i="0" u="none" strike="noStrike">
              <a:solidFill>
                <a:srgbClr val="000000"/>
              </a:solidFill>
              <a:latin typeface="+mn-lt"/>
              <a:cs typeface="Arial"/>
            </a:rPr>
            <a:pPr algn="ctr" rtl="1"/>
            <a:t> </a:t>
          </a:fld>
          <a:endParaRPr lang="he-IL" sz="1400">
            <a:latin typeface="+mn-lt"/>
          </a:endParaRPr>
        </a:p>
      </xdr:txBody>
    </xdr:sp>
    <xdr:clientData/>
  </xdr:twoCellAnchor>
  <xdr:twoCellAnchor>
    <xdr:from>
      <xdr:col>7</xdr:col>
      <xdr:colOff>352426</xdr:colOff>
      <xdr:row>17</xdr:row>
      <xdr:rowOff>104776</xdr:rowOff>
    </xdr:from>
    <xdr:to>
      <xdr:col>10</xdr:col>
      <xdr:colOff>295276</xdr:colOff>
      <xdr:row>19</xdr:row>
      <xdr:rowOff>19051</xdr:rowOff>
    </xdr:to>
    <xdr:sp macro="" textlink="$J$6">
      <xdr:nvSpPr>
        <xdr:cNvPr id="8" name="TextBox 7">
          <a:extLst>
            <a:ext uri="{FF2B5EF4-FFF2-40B4-BE49-F238E27FC236}">
              <a16:creationId xmlns:a16="http://schemas.microsoft.com/office/drawing/2014/main" xmlns="" id="{00000000-0008-0000-0900-000008000000}"/>
            </a:ext>
          </a:extLst>
        </xdr:cNvPr>
        <xdr:cNvSpPr txBox="1"/>
      </xdr:nvSpPr>
      <xdr:spPr>
        <a:xfrm>
          <a:off x="9826323374" y="3495676"/>
          <a:ext cx="542925"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EAEE5080-0849-4044-AE0D-67ADDEE83B3D}" type="TxLink">
            <a:rPr lang="he-IL" sz="1400" b="0" i="0" u="none" strike="noStrike">
              <a:solidFill>
                <a:srgbClr val="000000"/>
              </a:solidFill>
              <a:latin typeface="+mn-lt"/>
              <a:cs typeface="Arial"/>
            </a:rPr>
            <a:pPr algn="ctr" rtl="1"/>
            <a:t>15.0</a:t>
          </a:fld>
          <a:endParaRPr lang="he-IL" sz="1400">
            <a:latin typeface="+mn-lt"/>
          </a:endParaRPr>
        </a:p>
      </xdr:txBody>
    </xdr:sp>
    <xdr:clientData/>
  </xdr:twoCellAnchor>
  <xdr:twoCellAnchor>
    <xdr:from>
      <xdr:col>5</xdr:col>
      <xdr:colOff>1466851</xdr:colOff>
      <xdr:row>14</xdr:row>
      <xdr:rowOff>19050</xdr:rowOff>
    </xdr:from>
    <xdr:to>
      <xdr:col>6</xdr:col>
      <xdr:colOff>495301</xdr:colOff>
      <xdr:row>15</xdr:row>
      <xdr:rowOff>104775</xdr:rowOff>
    </xdr:to>
    <xdr:sp macro="" textlink="$B$2">
      <xdr:nvSpPr>
        <xdr:cNvPr id="9" name="TextBox 8">
          <a:extLst>
            <a:ext uri="{FF2B5EF4-FFF2-40B4-BE49-F238E27FC236}">
              <a16:creationId xmlns:a16="http://schemas.microsoft.com/office/drawing/2014/main" xmlns="" id="{00000000-0008-0000-0900-000009000000}"/>
            </a:ext>
          </a:extLst>
        </xdr:cNvPr>
        <xdr:cNvSpPr txBox="1"/>
      </xdr:nvSpPr>
      <xdr:spPr>
        <a:xfrm>
          <a:off x="9827323499" y="2838450"/>
          <a:ext cx="657225" cy="276225"/>
        </a:xfrm>
        <a:prstGeom prst="rect">
          <a:avLst/>
        </a:prstGeom>
        <a:solidFill>
          <a:schemeClr val="accent6">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a:fld id="{D47183DB-A5DE-49A0-91C6-15CB42E59586}" type="TxLink">
            <a:rPr lang="he-IL" sz="1400" b="1">
              <a:latin typeface="+mn-lt"/>
            </a:rPr>
            <a:pPr algn="ctr"/>
            <a:t>1478</a:t>
          </a:fld>
          <a:endParaRPr lang="en-US" sz="1400" b="1">
            <a:latin typeface="+mn-lt"/>
          </a:endParaRPr>
        </a:p>
      </xdr:txBody>
    </xdr:sp>
    <xdr:clientData/>
  </xdr:twoCellAnchor>
  <xdr:twoCellAnchor>
    <xdr:from>
      <xdr:col>5</xdr:col>
      <xdr:colOff>561975</xdr:colOff>
      <xdr:row>17</xdr:row>
      <xdr:rowOff>85726</xdr:rowOff>
    </xdr:from>
    <xdr:to>
      <xdr:col>5</xdr:col>
      <xdr:colOff>1095375</xdr:colOff>
      <xdr:row>19</xdr:row>
      <xdr:rowOff>1</xdr:rowOff>
    </xdr:to>
    <xdr:sp macro="" textlink="$J$6">
      <xdr:nvSpPr>
        <xdr:cNvPr id="10" name="TextBox 9">
          <a:extLst>
            <a:ext uri="{FF2B5EF4-FFF2-40B4-BE49-F238E27FC236}">
              <a16:creationId xmlns:a16="http://schemas.microsoft.com/office/drawing/2014/main" xmlns="" id="{00000000-0008-0000-0900-00000A000000}"/>
            </a:ext>
          </a:extLst>
        </xdr:cNvPr>
        <xdr:cNvSpPr txBox="1"/>
      </xdr:nvSpPr>
      <xdr:spPr>
        <a:xfrm>
          <a:off x="11232556275" y="3429001"/>
          <a:ext cx="533400" cy="295275"/>
        </a:xfrm>
        <a:prstGeom prst="rect">
          <a:avLst/>
        </a:prstGeom>
        <a:solidFill>
          <a:schemeClr val="accent3">
            <a:lumMod val="60000"/>
            <a:lumOff val="40000"/>
          </a:schemeClr>
        </a:solidFill>
        <a:ln w="9525" cmpd="sng">
          <a:solidFill>
            <a:schemeClr val="lt1">
              <a:shade val="50000"/>
            </a:schemeClr>
          </a:solidFill>
        </a:ln>
        <a:effectLst>
          <a:innerShdw blurRad="63500" dist="50800" dir="135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1D2B9F4C-67F9-485F-B9A3-AB46934ABC1B}" type="TxLink">
            <a:rPr lang="he-IL" sz="1400" b="0" i="0" u="none" strike="noStrike">
              <a:solidFill>
                <a:srgbClr val="000000"/>
              </a:solidFill>
              <a:latin typeface="+mn-lt"/>
              <a:cs typeface="Arial"/>
            </a:rPr>
            <a:pPr algn="ctr" rtl="1"/>
            <a:t>15.0</a:t>
          </a:fld>
          <a:endParaRPr lang="he-IL" sz="1400">
            <a:latin typeface="+mn-lt"/>
          </a:endParaRPr>
        </a:p>
      </xdr:txBody>
    </xdr:sp>
    <xdr:clientData/>
  </xdr:twoCellAnchor>
  <xdr:twoCellAnchor>
    <xdr:from>
      <xdr:col>2</xdr:col>
      <xdr:colOff>190499</xdr:colOff>
      <xdr:row>10</xdr:row>
      <xdr:rowOff>9525</xdr:rowOff>
    </xdr:from>
    <xdr:to>
      <xdr:col>6</xdr:col>
      <xdr:colOff>523874</xdr:colOff>
      <xdr:row>13</xdr:row>
      <xdr:rowOff>19049</xdr:rowOff>
    </xdr:to>
    <xdr:sp macro="" textlink="">
      <xdr:nvSpPr>
        <xdr:cNvPr id="14" name="TextBox 13">
          <a:extLst>
            <a:ext uri="{FF2B5EF4-FFF2-40B4-BE49-F238E27FC236}">
              <a16:creationId xmlns:a16="http://schemas.microsoft.com/office/drawing/2014/main" xmlns="" id="{00000000-0008-0000-0900-00000E000000}"/>
            </a:ext>
          </a:extLst>
        </xdr:cNvPr>
        <xdr:cNvSpPr txBox="1"/>
      </xdr:nvSpPr>
      <xdr:spPr>
        <a:xfrm>
          <a:off x="11232642001" y="2047875"/>
          <a:ext cx="4248150" cy="571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he-IL" sz="1100"/>
            <a:t>הצבעים המופיעים</a:t>
          </a:r>
          <a:r>
            <a:rPr lang="he-IL" sz="1100" baseline="0"/>
            <a:t> בטבלה הנ"ל משמשים כמקרא לתצוגת הצבעים והמשקלים המופיעים על איור המטוס (עם אותן יחידות משקל). למשל: משקל נוסעים אחוריים סומן בצבע סגול</a:t>
          </a:r>
          <a:endParaRPr lang="he-IL" sz="1100"/>
        </a:p>
      </xdr:txBody>
    </xdr:sp>
    <xdr:clientData/>
  </xdr:twoCellAnchor>
  <xdr:twoCellAnchor>
    <xdr:from>
      <xdr:col>4</xdr:col>
      <xdr:colOff>323850</xdr:colOff>
      <xdr:row>0</xdr:row>
      <xdr:rowOff>38100</xdr:rowOff>
    </xdr:from>
    <xdr:to>
      <xdr:col>5</xdr:col>
      <xdr:colOff>1047750</xdr:colOff>
      <xdr:row>4</xdr:row>
      <xdr:rowOff>104775</xdr:rowOff>
    </xdr:to>
    <xdr:sp macro="" textlink="">
      <xdr:nvSpPr>
        <xdr:cNvPr id="15" name="TextBox 14">
          <a:extLst>
            <a:ext uri="{FF2B5EF4-FFF2-40B4-BE49-F238E27FC236}">
              <a16:creationId xmlns:a16="http://schemas.microsoft.com/office/drawing/2014/main" xmlns="" id="{00000000-0008-0000-0900-00000F000000}"/>
            </a:ext>
          </a:extLst>
        </xdr:cNvPr>
        <xdr:cNvSpPr txBox="1"/>
      </xdr:nvSpPr>
      <xdr:spPr>
        <a:xfrm>
          <a:off x="11233975500" y="38100"/>
          <a:ext cx="1409700" cy="866775"/>
        </a:xfrm>
        <a:prstGeom prst="rect">
          <a:avLst/>
        </a:prstGeom>
        <a:solidFill>
          <a:schemeClr val="lt1"/>
        </a:solidFill>
        <a:ln w="9525" cmpd="sng">
          <a:noFill/>
        </a:ln>
        <a:effectLst>
          <a:innerShdw blurRad="63500" dist="50800" dir="54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en-US" sz="4800"/>
            <a:t>DBV</a:t>
          </a:r>
          <a:endParaRPr lang="he-IL" sz="4800"/>
        </a:p>
      </xdr:txBody>
    </xdr:sp>
    <xdr:clientData/>
  </xdr:twoCellAnchor>
  <xdr:twoCellAnchor>
    <xdr:from>
      <xdr:col>4</xdr:col>
      <xdr:colOff>352425</xdr:colOff>
      <xdr:row>5</xdr:row>
      <xdr:rowOff>19050</xdr:rowOff>
    </xdr:from>
    <xdr:to>
      <xdr:col>5</xdr:col>
      <xdr:colOff>1009650</xdr:colOff>
      <xdr:row>6</xdr:row>
      <xdr:rowOff>142875</xdr:rowOff>
    </xdr:to>
    <xdr:sp macro="" textlink="'נתוני מטוסים'!P14">
      <xdr:nvSpPr>
        <xdr:cNvPr id="17" name="TextBox 16">
          <a:extLst>
            <a:ext uri="{FF2B5EF4-FFF2-40B4-BE49-F238E27FC236}">
              <a16:creationId xmlns:a16="http://schemas.microsoft.com/office/drawing/2014/main" xmlns="" id="{00000000-0008-0000-0900-000011000000}"/>
            </a:ext>
          </a:extLst>
        </xdr:cNvPr>
        <xdr:cNvSpPr txBox="1"/>
      </xdr:nvSpPr>
      <xdr:spPr>
        <a:xfrm>
          <a:off x="11232642000" y="1028700"/>
          <a:ext cx="13430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fld id="{8528FD39-BD5C-44B9-AE38-B137D7EEAA5D}" type="TxLink">
            <a:rPr lang="he-IL" sz="1100" b="0" i="0" u="none" strike="noStrike">
              <a:solidFill>
                <a:srgbClr val="000000"/>
              </a:solidFill>
              <a:latin typeface="Arial"/>
              <a:cs typeface="Arial"/>
            </a:rPr>
            <a:pPr algn="ctr" rtl="1"/>
            <a:t>20/06/2022 11:07</a:t>
          </a:fld>
          <a:endParaRPr lang="he-IL" sz="1100"/>
        </a:p>
      </xdr:txBody>
    </xdr:sp>
    <xdr:clientData/>
  </xdr:twoCellAnchor>
  <xdr:twoCellAnchor editAs="oneCell">
    <xdr:from>
      <xdr:col>5</xdr:col>
      <xdr:colOff>1371600</xdr:colOff>
      <xdr:row>0</xdr:row>
      <xdr:rowOff>171450</xdr:rowOff>
    </xdr:from>
    <xdr:to>
      <xdr:col>10</xdr:col>
      <xdr:colOff>206675</xdr:colOff>
      <xdr:row>6</xdr:row>
      <xdr:rowOff>123628</xdr:rowOff>
    </xdr:to>
    <xdr:pic>
      <xdr:nvPicPr>
        <xdr:cNvPr id="18" name="תמונה 17">
          <a:extLst>
            <a:ext uri="{FF2B5EF4-FFF2-40B4-BE49-F238E27FC236}">
              <a16:creationId xmlns:a16="http://schemas.microsoft.com/office/drawing/2014/main" xmlns="" id="{00000000-0008-0000-09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26411975" y="171450"/>
          <a:ext cx="1664000" cy="1180903"/>
        </a:xfrm>
        <a:prstGeom prst="rect">
          <a:avLst/>
        </a:prstGeom>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dimension ref="A1:H30"/>
  <sheetViews>
    <sheetView rightToLeft="1" workbookViewId="0">
      <selection activeCell="C14" sqref="C14"/>
    </sheetView>
  </sheetViews>
  <sheetFormatPr defaultColWidth="9" defaultRowHeight="13.8" x14ac:dyDescent="0.25"/>
  <cols>
    <col min="1" max="1" width="60.09765625" style="61" bestFit="1" customWidth="1"/>
    <col min="2" max="2" width="9" style="61"/>
    <col min="3" max="3" width="54.59765625" style="61" customWidth="1"/>
    <col min="4" max="5" width="9" style="61"/>
    <col min="6" max="6" width="54.09765625" style="61" customWidth="1"/>
    <col min="7" max="16384" width="9" style="61"/>
  </cols>
  <sheetData>
    <row r="1" spans="1:3" ht="14.4" thickBot="1" x14ac:dyDescent="0.3">
      <c r="A1" s="66" t="s">
        <v>42</v>
      </c>
      <c r="C1" s="67" t="s">
        <v>43</v>
      </c>
    </row>
    <row r="2" spans="1:3" ht="15" thickTop="1" thickBot="1" x14ac:dyDescent="0.3">
      <c r="A2" s="37" t="s">
        <v>24</v>
      </c>
      <c r="C2" s="62" t="s">
        <v>47</v>
      </c>
    </row>
    <row r="3" spans="1:3" ht="47.4" thickTop="1" x14ac:dyDescent="0.25">
      <c r="A3" s="83" t="s">
        <v>88</v>
      </c>
      <c r="C3" s="63" t="s">
        <v>44</v>
      </c>
    </row>
    <row r="4" spans="1:3" ht="105" x14ac:dyDescent="0.25">
      <c r="A4" s="37" t="s">
        <v>62</v>
      </c>
      <c r="C4" s="84" t="s">
        <v>89</v>
      </c>
    </row>
    <row r="5" spans="1:3" ht="27.6" x14ac:dyDescent="0.25">
      <c r="C5" s="64" t="s">
        <v>63</v>
      </c>
    </row>
    <row r="6" spans="1:3" ht="41.4" x14ac:dyDescent="0.25">
      <c r="A6" s="66" t="s">
        <v>45</v>
      </c>
      <c r="C6" s="64" t="s">
        <v>50</v>
      </c>
    </row>
    <row r="7" spans="1:3" x14ac:dyDescent="0.25">
      <c r="A7" s="64" t="s">
        <v>46</v>
      </c>
      <c r="C7" s="64" t="s">
        <v>87</v>
      </c>
    </row>
    <row r="8" spans="1:3" x14ac:dyDescent="0.25">
      <c r="A8" s="40" t="s">
        <v>21</v>
      </c>
    </row>
    <row r="9" spans="1:3" ht="27.6" x14ac:dyDescent="0.25">
      <c r="A9" s="64" t="s">
        <v>66</v>
      </c>
    </row>
    <row r="11" spans="1:3" x14ac:dyDescent="0.25">
      <c r="A11" s="66" t="s">
        <v>48</v>
      </c>
    </row>
    <row r="12" spans="1:3" ht="41.4" x14ac:dyDescent="0.25">
      <c r="A12" s="64" t="s">
        <v>74</v>
      </c>
    </row>
    <row r="13" spans="1:3" ht="55.2" x14ac:dyDescent="0.25">
      <c r="A13" s="64" t="s">
        <v>49</v>
      </c>
    </row>
    <row r="14" spans="1:3" ht="27.6" x14ac:dyDescent="0.25">
      <c r="A14" s="64" t="s">
        <v>51</v>
      </c>
    </row>
    <row r="15" spans="1:3" ht="27.6" x14ac:dyDescent="0.25">
      <c r="A15" s="64" t="s">
        <v>65</v>
      </c>
    </row>
    <row r="16" spans="1:3" ht="30.75" customHeight="1" x14ac:dyDescent="0.3">
      <c r="A16" s="71" t="s">
        <v>70</v>
      </c>
    </row>
    <row r="17" spans="1:8" ht="27.6" x14ac:dyDescent="0.25">
      <c r="A17" s="68" t="s">
        <v>71</v>
      </c>
    </row>
    <row r="18" spans="1:8" x14ac:dyDescent="0.25">
      <c r="A18" s="40" t="s">
        <v>21</v>
      </c>
    </row>
    <row r="30" spans="1:8" x14ac:dyDescent="0.25">
      <c r="H30" s="38"/>
    </row>
  </sheetData>
  <sheetProtection selectLockedCells="1" selectUnlockedCells="1"/>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M32"/>
  <sheetViews>
    <sheetView rightToLeft="1" tabSelected="1" workbookViewId="0">
      <selection activeCell="B10" sqref="B10"/>
    </sheetView>
  </sheetViews>
  <sheetFormatPr defaultColWidth="9" defaultRowHeight="13.8" x14ac:dyDescent="0.25"/>
  <cols>
    <col min="1" max="1" width="22" style="12" customWidth="1"/>
    <col min="2" max="2" width="11.3984375" style="12" bestFit="1" customWidth="1"/>
    <col min="3" max="5" width="9" style="12"/>
    <col min="6" max="6" width="24.3984375" style="12" bestFit="1" customWidth="1"/>
    <col min="7" max="8" width="9" style="12"/>
    <col min="9" max="9" width="0" style="12" hidden="1" customWidth="1"/>
    <col min="10" max="10" width="9" style="12" hidden="1" customWidth="1"/>
    <col min="11" max="11" width="9" style="12"/>
    <col min="12" max="12" width="23.8984375" style="12" customWidth="1"/>
    <col min="13" max="16384" width="9" style="12"/>
  </cols>
  <sheetData>
    <row r="1" spans="1:13" x14ac:dyDescent="0.25">
      <c r="A1" s="49" t="s">
        <v>2</v>
      </c>
      <c r="B1" s="50" t="s">
        <v>12</v>
      </c>
      <c r="C1" s="50" t="s">
        <v>8</v>
      </c>
      <c r="D1" s="50" t="s">
        <v>9</v>
      </c>
      <c r="E1" s="10"/>
      <c r="F1" s="10"/>
      <c r="G1" s="10"/>
      <c r="H1" s="10"/>
      <c r="I1" s="10"/>
      <c r="J1" s="10" t="s">
        <v>39</v>
      </c>
      <c r="K1" s="11"/>
      <c r="L1" s="13"/>
      <c r="M1" s="13"/>
    </row>
    <row r="2" spans="1:13" ht="14.4" thickBot="1" x14ac:dyDescent="0.3">
      <c r="A2" s="51" t="s">
        <v>13</v>
      </c>
      <c r="B2" s="39">
        <f>'נתוני מטוסים'!H76</f>
        <v>1478</v>
      </c>
      <c r="C2" s="40">
        <f>'נתוני מטוסים'!H65</f>
        <v>39.6</v>
      </c>
      <c r="D2" s="41">
        <f>C2*B2</f>
        <v>58528.800000000003</v>
      </c>
      <c r="E2" s="13"/>
      <c r="F2" s="13"/>
      <c r="G2" s="13"/>
      <c r="H2" s="13"/>
      <c r="I2" s="13"/>
      <c r="J2" s="13">
        <f>B3+B4</f>
        <v>0</v>
      </c>
      <c r="K2" s="14"/>
      <c r="L2" s="13"/>
      <c r="M2" s="13"/>
    </row>
    <row r="3" spans="1:13" ht="15" thickTop="1" thickBot="1" x14ac:dyDescent="0.3">
      <c r="A3" s="77" t="s">
        <v>75</v>
      </c>
      <c r="B3" s="5"/>
      <c r="C3" s="42">
        <f>'נתוני מטוסים'!H67</f>
        <v>37</v>
      </c>
      <c r="D3" s="41">
        <f>C3*B3</f>
        <v>0</v>
      </c>
      <c r="E3" s="13"/>
      <c r="F3" s="13"/>
      <c r="G3" s="13"/>
      <c r="H3" s="13"/>
      <c r="I3" s="13"/>
      <c r="J3" s="13" t="s">
        <v>38</v>
      </c>
      <c r="K3" s="14"/>
      <c r="L3" s="13"/>
      <c r="M3" s="13"/>
    </row>
    <row r="4" spans="1:13" ht="15" thickTop="1" thickBot="1" x14ac:dyDescent="0.3">
      <c r="A4" s="77" t="s">
        <v>76</v>
      </c>
      <c r="B4" s="5"/>
      <c r="C4" s="42">
        <f>'נתוני מטוסים'!H67</f>
        <v>37</v>
      </c>
      <c r="D4" s="41">
        <f>B4*C4</f>
        <v>0</v>
      </c>
      <c r="E4" s="13"/>
      <c r="F4" s="13"/>
      <c r="G4" s="13"/>
      <c r="H4" s="13"/>
      <c r="I4" s="13"/>
      <c r="J4" s="13">
        <f>B5+B6</f>
        <v>0</v>
      </c>
      <c r="K4" s="14"/>
      <c r="L4" s="13"/>
      <c r="M4" s="13"/>
    </row>
    <row r="5" spans="1:13" ht="15" thickTop="1" thickBot="1" x14ac:dyDescent="0.3">
      <c r="A5" s="78" t="s">
        <v>77</v>
      </c>
      <c r="B5" s="5"/>
      <c r="C5" s="42">
        <f>'נתוני מטוסים'!H68</f>
        <v>73</v>
      </c>
      <c r="D5" s="41">
        <f>B5*C5</f>
        <v>0</v>
      </c>
      <c r="E5" s="13"/>
      <c r="F5" s="13"/>
      <c r="G5" s="13"/>
      <c r="H5" s="13"/>
      <c r="I5" s="13"/>
      <c r="J5" s="13" t="s">
        <v>37</v>
      </c>
      <c r="K5" s="14"/>
      <c r="L5" s="13"/>
      <c r="M5" s="13"/>
    </row>
    <row r="6" spans="1:13" ht="15" thickTop="1" thickBot="1" x14ac:dyDescent="0.3">
      <c r="A6" s="78" t="s">
        <v>78</v>
      </c>
      <c r="B6" s="5"/>
      <c r="C6" s="42">
        <f>'נתוני מטוסים'!H68</f>
        <v>73</v>
      </c>
      <c r="D6" s="41">
        <f>C6*B6</f>
        <v>0</v>
      </c>
      <c r="E6" s="13"/>
      <c r="F6" s="13"/>
      <c r="G6" s="13"/>
      <c r="H6" s="13"/>
      <c r="I6" s="13"/>
      <c r="J6" s="44">
        <f>B9/2</f>
        <v>15</v>
      </c>
      <c r="K6" s="14"/>
      <c r="L6" s="13"/>
      <c r="M6" s="13"/>
    </row>
    <row r="7" spans="1:13" ht="15" thickTop="1" thickBot="1" x14ac:dyDescent="0.3">
      <c r="A7" s="79" t="s">
        <v>79</v>
      </c>
      <c r="B7" s="5"/>
      <c r="C7" s="42">
        <f>'נתוני מטוסים'!H69</f>
        <v>95</v>
      </c>
      <c r="D7" s="41">
        <f>B7*C7</f>
        <v>0</v>
      </c>
      <c r="E7" s="13"/>
      <c r="F7" s="13"/>
      <c r="G7" s="13"/>
      <c r="H7" s="13"/>
      <c r="I7" s="13"/>
      <c r="J7" s="13" t="s">
        <v>36</v>
      </c>
      <c r="K7" s="14"/>
      <c r="L7" s="13"/>
      <c r="M7" s="13"/>
    </row>
    <row r="8" spans="1:13" ht="15" thickTop="1" thickBot="1" x14ac:dyDescent="0.3">
      <c r="A8" s="80" t="s">
        <v>80</v>
      </c>
      <c r="B8" s="5"/>
      <c r="C8" s="42">
        <f>'נתוני מטוסים'!H70</f>
        <v>123</v>
      </c>
      <c r="D8" s="41">
        <f>C8*B8</f>
        <v>0</v>
      </c>
      <c r="E8" s="13"/>
      <c r="F8" s="43"/>
      <c r="G8" s="13"/>
      <c r="H8" s="13"/>
      <c r="I8" s="13"/>
      <c r="J8" s="13">
        <f>'נתוני מטוסים'!B56</f>
        <v>50</v>
      </c>
      <c r="K8" s="14"/>
      <c r="L8" s="13"/>
      <c r="M8" s="13"/>
    </row>
    <row r="9" spans="1:13" ht="15" thickTop="1" thickBot="1" x14ac:dyDescent="0.3">
      <c r="A9" s="52" t="s">
        <v>14</v>
      </c>
      <c r="B9" s="5">
        <v>30</v>
      </c>
      <c r="C9" s="42">
        <f>'נתוני מטוסים'!H66</f>
        <v>46</v>
      </c>
      <c r="D9" s="41">
        <f>C9*B9*6</f>
        <v>8280</v>
      </c>
      <c r="E9" s="13"/>
      <c r="F9" s="43"/>
      <c r="G9" s="13"/>
      <c r="H9" s="13"/>
      <c r="I9" s="13"/>
      <c r="J9" s="13" t="s">
        <v>40</v>
      </c>
      <c r="K9" s="14"/>
      <c r="L9" s="13"/>
      <c r="M9" s="13"/>
    </row>
    <row r="10" spans="1:13" ht="15" thickTop="1" x14ac:dyDescent="0.2">
      <c r="A10" s="15"/>
      <c r="B10" s="13"/>
      <c r="C10" s="13"/>
      <c r="D10" s="13"/>
      <c r="E10" s="13"/>
      <c r="F10" s="43"/>
      <c r="G10" s="13"/>
      <c r="H10" s="13"/>
      <c r="I10" s="13"/>
      <c r="J10" s="44">
        <f>'נתוני מטוסים'!B54</f>
        <v>120</v>
      </c>
      <c r="K10" s="14"/>
      <c r="L10" s="13"/>
      <c r="M10" s="13"/>
    </row>
    <row r="11" spans="1:13" x14ac:dyDescent="0.25">
      <c r="A11" s="292" t="s">
        <v>19</v>
      </c>
      <c r="B11" s="293"/>
      <c r="C11" s="13"/>
      <c r="D11" s="13"/>
      <c r="E11" s="13"/>
      <c r="F11" s="13"/>
      <c r="G11" s="13"/>
      <c r="H11" s="13"/>
      <c r="I11" s="13"/>
      <c r="J11" s="13" t="s">
        <v>41</v>
      </c>
      <c r="K11" s="14"/>
      <c r="L11" s="13"/>
      <c r="M11" s="13"/>
    </row>
    <row r="12" spans="1:13" x14ac:dyDescent="0.25">
      <c r="A12" s="53" t="s">
        <v>20</v>
      </c>
      <c r="B12" s="45">
        <f>SUM(D2:D9)/B13</f>
        <v>40.294813027744269</v>
      </c>
      <c r="C12" s="13"/>
      <c r="D12" s="13"/>
      <c r="E12" s="13"/>
      <c r="F12" s="13"/>
      <c r="G12" s="13"/>
      <c r="H12" s="13"/>
      <c r="I12" s="13"/>
      <c r="J12" s="44">
        <f>'נתוני מטוסים'!B55</f>
        <v>50</v>
      </c>
      <c r="K12" s="14"/>
      <c r="L12" s="13"/>
      <c r="M12" s="13"/>
    </row>
    <row r="13" spans="1:13" x14ac:dyDescent="0.25">
      <c r="A13" s="54" t="s">
        <v>15</v>
      </c>
      <c r="B13" s="40">
        <f>B2+(B9*6)+(SUM(B3:B8))</f>
        <v>1658</v>
      </c>
      <c r="C13" s="13"/>
      <c r="D13" s="13"/>
      <c r="E13" s="13"/>
      <c r="F13" s="13"/>
      <c r="G13" s="13"/>
      <c r="H13" s="13"/>
      <c r="I13" s="13"/>
      <c r="J13" s="13" t="s">
        <v>64</v>
      </c>
      <c r="K13" s="14"/>
      <c r="L13" s="13"/>
      <c r="M13" s="13"/>
    </row>
    <row r="14" spans="1:13" ht="14.25" x14ac:dyDescent="0.2">
      <c r="A14" s="15"/>
      <c r="B14" s="13"/>
      <c r="C14" s="13"/>
      <c r="D14" s="13"/>
      <c r="E14" s="13"/>
      <c r="F14" s="13"/>
      <c r="G14" s="13"/>
      <c r="H14" s="13"/>
      <c r="I14" s="13"/>
      <c r="J14" s="13">
        <f>J8/4</f>
        <v>12.5</v>
      </c>
      <c r="K14" s="14"/>
      <c r="L14" s="13"/>
      <c r="M14" s="13"/>
    </row>
    <row r="15" spans="1:13" x14ac:dyDescent="0.25">
      <c r="A15" s="55" t="s">
        <v>18</v>
      </c>
      <c r="B15" s="56"/>
      <c r="C15" s="13"/>
      <c r="D15" s="13"/>
      <c r="E15" s="13"/>
      <c r="F15" s="13"/>
      <c r="G15" s="13"/>
      <c r="H15" s="13"/>
      <c r="I15" s="13"/>
      <c r="J15" s="13"/>
      <c r="K15" s="14"/>
      <c r="L15" s="13"/>
      <c r="M15" s="13"/>
    </row>
    <row r="16" spans="1:13" ht="15" x14ac:dyDescent="0.25">
      <c r="A16" s="57" t="str">
        <f>IF(B12&gt;'נתוני מטוסים'!H71,"חרגת ממגבלת מרכז כובד אחורי",IF(B12&lt;'נתוני מטוסים'!H72,"חרגת ממגבלת מרכז כובד קדמי","מרכז כובד תקין"))</f>
        <v>מרכז כובד תקין</v>
      </c>
      <c r="B16" s="56"/>
      <c r="C16" s="13"/>
      <c r="D16" s="13"/>
      <c r="E16" s="13"/>
      <c r="F16" s="13"/>
      <c r="G16" s="13"/>
      <c r="H16" s="13"/>
      <c r="I16" s="13"/>
      <c r="J16" s="13"/>
      <c r="K16" s="14"/>
      <c r="L16" s="13"/>
      <c r="M16" s="13"/>
    </row>
    <row r="17" spans="1:13" ht="15" x14ac:dyDescent="0.25">
      <c r="A17" s="57" t="str">
        <f>IF(B13&gt;'נתוני מטוסים'!H75,"חרגת מהמשקל המקסימלי","משקל המראה תקין")</f>
        <v>משקל המראה תקין</v>
      </c>
      <c r="B17" s="56"/>
      <c r="C17" s="13"/>
      <c r="D17" s="13"/>
      <c r="E17" s="13"/>
      <c r="F17" s="13"/>
      <c r="G17" s="13"/>
      <c r="H17" s="13"/>
      <c r="I17" s="13"/>
      <c r="J17" s="13"/>
      <c r="K17" s="14"/>
      <c r="L17" s="13"/>
      <c r="M17" s="13"/>
    </row>
    <row r="18" spans="1:13" ht="15" x14ac:dyDescent="0.25">
      <c r="A18" s="57" t="str">
        <f>IF(B9&lt;J14,"יש פחות מרבע טנק דלק","יש מעל רבע טנק דלק")</f>
        <v>יש מעל רבע טנק דלק</v>
      </c>
      <c r="B18" s="13"/>
      <c r="C18" s="13"/>
      <c r="D18" s="13"/>
      <c r="E18" s="13"/>
      <c r="F18" s="13"/>
      <c r="G18" s="13"/>
      <c r="H18" s="13"/>
      <c r="I18" s="13"/>
      <c r="J18" s="13"/>
      <c r="K18" s="14"/>
      <c r="L18" s="13"/>
      <c r="M18" s="13"/>
    </row>
    <row r="19" spans="1:13" ht="15" x14ac:dyDescent="0.25">
      <c r="A19" s="57" t="str">
        <f>IF(SUM('משקל ואיזון DBV'!B7:B8)&gt;'נתוני מטוסים'!H77, "חריגה במשקל תאי המטען","משקל תאי מטען תקין")</f>
        <v>משקל תאי מטען תקין</v>
      </c>
      <c r="B19" s="13"/>
      <c r="C19" s="13"/>
      <c r="D19" s="13"/>
      <c r="E19" s="13"/>
      <c r="F19" s="13"/>
      <c r="G19" s="13"/>
      <c r="H19" s="13"/>
      <c r="I19" s="13"/>
      <c r="J19" s="13"/>
      <c r="K19" s="86"/>
      <c r="L19" s="13"/>
      <c r="M19" s="13"/>
    </row>
    <row r="20" spans="1:13" ht="14.25" x14ac:dyDescent="0.2">
      <c r="A20" s="15"/>
      <c r="B20" s="13"/>
      <c r="C20" s="13"/>
      <c r="D20" s="13"/>
      <c r="E20" s="13"/>
      <c r="F20" s="13"/>
      <c r="G20" s="13"/>
      <c r="H20" s="13"/>
      <c r="I20" s="13"/>
      <c r="J20" s="13"/>
      <c r="K20" s="14"/>
      <c r="L20" s="13"/>
      <c r="M20" s="13"/>
    </row>
    <row r="21" spans="1:13" ht="14.25" x14ac:dyDescent="0.2">
      <c r="A21" s="85" t="s">
        <v>72</v>
      </c>
      <c r="B21" s="13"/>
      <c r="C21" s="13"/>
      <c r="D21" s="13"/>
      <c r="E21" s="13"/>
      <c r="F21" s="13"/>
      <c r="G21" s="13"/>
      <c r="H21" s="13"/>
      <c r="I21" s="13"/>
      <c r="J21" s="13"/>
      <c r="K21" s="14"/>
      <c r="L21" s="13"/>
      <c r="M21" s="13"/>
    </row>
    <row r="22" spans="1:13" ht="15" x14ac:dyDescent="0.25">
      <c r="A22" s="81">
        <f>'נתוני מטוסים'!H75</f>
        <v>2300</v>
      </c>
      <c r="B22" s="13"/>
      <c r="C22" s="13"/>
      <c r="D22" s="13"/>
      <c r="E22" s="13"/>
      <c r="F22" s="13"/>
      <c r="G22" s="13"/>
      <c r="H22" s="13"/>
      <c r="I22" s="13"/>
      <c r="J22" s="13"/>
      <c r="K22" s="14"/>
      <c r="L22" s="13"/>
      <c r="M22" s="13"/>
    </row>
    <row r="23" spans="1:13" ht="14.25" x14ac:dyDescent="0.2">
      <c r="A23" s="15"/>
      <c r="B23" s="13"/>
      <c r="C23" s="13"/>
      <c r="D23" s="13"/>
      <c r="E23" s="13"/>
      <c r="F23" s="13"/>
      <c r="G23" s="13"/>
      <c r="H23" s="13"/>
      <c r="I23" s="13"/>
      <c r="J23" s="13"/>
      <c r="K23" s="14"/>
      <c r="L23" s="13"/>
      <c r="M23" s="13"/>
    </row>
    <row r="24" spans="1:13" ht="14.25" x14ac:dyDescent="0.2">
      <c r="A24" s="15"/>
      <c r="B24" s="13"/>
      <c r="C24" s="13"/>
      <c r="D24" s="13"/>
      <c r="E24" s="13"/>
      <c r="F24" s="13"/>
      <c r="G24" s="13"/>
      <c r="H24" s="13"/>
      <c r="I24" s="13"/>
      <c r="J24" s="13"/>
      <c r="K24" s="14"/>
      <c r="L24" s="13"/>
      <c r="M24" s="13"/>
    </row>
    <row r="25" spans="1:13" ht="14.25" x14ac:dyDescent="0.2">
      <c r="A25" s="15"/>
      <c r="B25" s="13"/>
      <c r="C25" s="13"/>
      <c r="D25" s="13"/>
      <c r="E25" s="13"/>
      <c r="F25" s="13"/>
      <c r="G25" s="13"/>
      <c r="H25" s="13"/>
      <c r="I25" s="13"/>
      <c r="J25" s="13"/>
      <c r="K25" s="14"/>
      <c r="L25" s="13"/>
      <c r="M25" s="13"/>
    </row>
    <row r="26" spans="1:13" ht="14.25" x14ac:dyDescent="0.2">
      <c r="A26" s="15"/>
      <c r="B26" s="13"/>
      <c r="C26" s="13"/>
      <c r="D26" s="13"/>
      <c r="E26" s="13"/>
      <c r="F26" s="13"/>
      <c r="G26" s="13"/>
      <c r="H26" s="13"/>
      <c r="I26" s="13"/>
      <c r="J26" s="13"/>
      <c r="K26" s="14"/>
      <c r="L26" s="13"/>
      <c r="M26" s="13"/>
    </row>
    <row r="27" spans="1:13" ht="14.25" x14ac:dyDescent="0.2">
      <c r="A27" s="15"/>
      <c r="B27" s="13"/>
      <c r="C27" s="13"/>
      <c r="D27" s="13"/>
      <c r="E27" s="13"/>
      <c r="F27" s="13"/>
      <c r="G27" s="13"/>
      <c r="H27" s="13"/>
      <c r="I27" s="13"/>
      <c r="J27" s="13"/>
      <c r="K27" s="14"/>
      <c r="L27" s="13"/>
      <c r="M27" s="13"/>
    </row>
    <row r="28" spans="1:13" ht="14.25" x14ac:dyDescent="0.2">
      <c r="A28" s="15"/>
      <c r="B28" s="13"/>
      <c r="C28" s="13"/>
      <c r="D28" s="13"/>
      <c r="E28" s="13"/>
      <c r="F28" s="13"/>
      <c r="G28" s="13"/>
      <c r="H28" s="13"/>
      <c r="I28" s="13"/>
      <c r="J28" s="13"/>
      <c r="K28" s="14"/>
      <c r="L28" s="13"/>
      <c r="M28" s="13"/>
    </row>
    <row r="29" spans="1:13" ht="15" thickBot="1" x14ac:dyDescent="0.25">
      <c r="A29" s="15"/>
      <c r="B29" s="13"/>
      <c r="C29" s="13"/>
      <c r="D29" s="13"/>
      <c r="E29" s="13"/>
      <c r="F29" s="13"/>
      <c r="G29" s="13"/>
      <c r="H29" s="13"/>
      <c r="I29" s="13"/>
      <c r="J29" s="13"/>
      <c r="K29" s="14"/>
      <c r="L29" s="13"/>
      <c r="M29" s="13"/>
    </row>
    <row r="30" spans="1:13" ht="15.6" x14ac:dyDescent="0.3">
      <c r="A30" s="73" t="s">
        <v>83</v>
      </c>
      <c r="B30" s="10"/>
      <c r="C30" s="10"/>
      <c r="D30" s="10"/>
      <c r="E30" s="10"/>
      <c r="F30" s="10"/>
      <c r="G30" s="11"/>
      <c r="H30" s="13"/>
      <c r="I30" s="13"/>
      <c r="J30" s="13"/>
      <c r="K30" s="14"/>
      <c r="L30" s="13"/>
      <c r="M30" s="13"/>
    </row>
    <row r="31" spans="1:13" ht="15.6" x14ac:dyDescent="0.3">
      <c r="A31" s="72" t="s">
        <v>84</v>
      </c>
      <c r="B31" s="13"/>
      <c r="C31" s="13"/>
      <c r="D31" s="13"/>
      <c r="E31" s="13"/>
      <c r="F31" s="13"/>
      <c r="G31" s="14"/>
      <c r="H31" s="13"/>
      <c r="I31" s="13"/>
      <c r="J31" s="13"/>
      <c r="K31" s="14"/>
      <c r="L31" s="13"/>
      <c r="M31" s="13"/>
    </row>
    <row r="32" spans="1:13" ht="16.2" thickBot="1" x14ac:dyDescent="0.35">
      <c r="A32" s="74" t="s">
        <v>86</v>
      </c>
      <c r="B32" s="16"/>
      <c r="C32" s="16"/>
      <c r="D32" s="16"/>
      <c r="E32" s="16"/>
      <c r="F32" s="16"/>
      <c r="G32" s="17"/>
      <c r="H32" s="16"/>
      <c r="I32" s="16"/>
      <c r="J32" s="16"/>
      <c r="K32" s="17"/>
      <c r="L32" s="13"/>
      <c r="M32" s="13"/>
    </row>
  </sheetData>
  <sheetProtection algorithmName="SHA-512" hashValue="YV9zOkSfX3WMS4OIsOZwakvX9y92bjzAxmNow2K2O6bASm+bacJvab+huUNz7kcPyWbaW+EgfiKzJxR9Bn+K4g==" saltValue="4reYiA3KOozl/gys93q77w==" spinCount="100000" sheet="1" objects="1" scenarios="1"/>
  <dataConsolidate/>
  <mergeCells count="1">
    <mergeCell ref="A11:B11"/>
  </mergeCells>
  <conditionalFormatting sqref="A17">
    <cfRule type="containsText" dxfId="5" priority="3" operator="containsText" text="חרגת מהמשקל המקסימלי">
      <formula>NOT(ISERROR(SEARCH("חרגת מהמשקל המקסימלי",A17)))</formula>
    </cfRule>
  </conditionalFormatting>
  <conditionalFormatting sqref="A18">
    <cfRule type="containsText" dxfId="4" priority="2" operator="containsText" text="יש פחות מרבע טנק דלק">
      <formula>NOT(ISERROR(SEARCH("יש פחות מרבע טנק דלק",A18)))</formula>
    </cfRule>
  </conditionalFormatting>
  <conditionalFormatting sqref="A19">
    <cfRule type="cellIs" dxfId="3" priority="1" operator="equal">
      <formula>"חריגה במשקל תאי המטען"</formula>
    </cfRule>
  </conditionalFormatting>
  <dataValidations count="4">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7">
      <formula1>0</formula1>
      <formula2>J10</formula2>
    </dataValidation>
    <dataValidation type="whole" allowBlank="1" showErrorMessage="1" errorTitle="הזנה שגויה" error="יש להזין מספרים בלבד בטווח שתואם את מגבלות המטוס. את נתוני המטוס ומגבלותיו ניתן למצוא בלשונית &quot;נתוני מטוסים&quot;" promptTitle="הזן משקל מטען אחרי בק&quot;ג" sqref="B8">
      <formula1>0</formula1>
      <formula2>J12</formula2>
    </dataValidation>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9">
      <formula1>1</formula1>
      <formula2>J8</formula2>
    </dataValidation>
    <dataValidation type="whole" allowBlank="1" showInputMessage="1" showErrorMessage="1" sqref="B2">
      <formula1>1</formula1>
      <formula2>2400</formula2>
    </dataValidation>
  </dataValidations>
  <pageMargins left="0.70866141732283472" right="0.70866141732283472" top="0.74803149606299213" bottom="0.74803149606299213" header="0.31496062992125984" footer="0.31496062992125984"/>
  <pageSetup paperSize="9" orientation="landscape" horizontalDpi="200" verticalDpi="200"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rightToLeft="1" workbookViewId="0">
      <selection activeCell="B3" sqref="B3"/>
    </sheetView>
  </sheetViews>
  <sheetFormatPr defaultColWidth="9" defaultRowHeight="13.8" x14ac:dyDescent="0.25"/>
  <cols>
    <col min="1" max="1" width="22" style="12" customWidth="1"/>
    <col min="2" max="2" width="11.3984375" style="12" bestFit="1" customWidth="1"/>
    <col min="3" max="5" width="9" style="12"/>
    <col min="6" max="6" width="24.3984375" style="12" bestFit="1" customWidth="1"/>
    <col min="7" max="8" width="9" style="12"/>
    <col min="9" max="9" width="0" style="12" hidden="1" customWidth="1"/>
    <col min="10" max="11" width="9" style="12" hidden="1" customWidth="1"/>
    <col min="12" max="12" width="9" style="12"/>
    <col min="13" max="13" width="23.8984375" style="12" customWidth="1"/>
    <col min="14" max="16384" width="9" style="12"/>
  </cols>
  <sheetData>
    <row r="1" spans="1:14" x14ac:dyDescent="0.25">
      <c r="A1" s="49" t="s">
        <v>2</v>
      </c>
      <c r="B1" s="50" t="s">
        <v>12</v>
      </c>
      <c r="C1" s="50" t="s">
        <v>8</v>
      </c>
      <c r="D1" s="50" t="s">
        <v>9</v>
      </c>
      <c r="E1" s="10"/>
      <c r="F1" s="10"/>
      <c r="G1" s="10"/>
      <c r="H1" s="10"/>
      <c r="I1" s="10"/>
      <c r="J1" s="76" t="s">
        <v>39</v>
      </c>
      <c r="K1" s="10"/>
      <c r="L1" s="11"/>
      <c r="M1" s="13"/>
      <c r="N1" s="13"/>
    </row>
    <row r="2" spans="1:14" ht="14.4" thickBot="1" x14ac:dyDescent="0.3">
      <c r="A2" s="51" t="s">
        <v>13</v>
      </c>
      <c r="B2" s="39">
        <f>'נתוני מטוסים'!B72</f>
        <v>1500</v>
      </c>
      <c r="C2" s="40">
        <f>'נתוני מטוסים'!B61</f>
        <v>38.5</v>
      </c>
      <c r="D2" s="41">
        <f>C2*B2</f>
        <v>57750</v>
      </c>
      <c r="E2" s="13"/>
      <c r="F2" s="13"/>
      <c r="G2" s="13"/>
      <c r="H2" s="13"/>
      <c r="I2" s="13"/>
      <c r="J2" s="1">
        <f>B3+B4</f>
        <v>385</v>
      </c>
      <c r="K2" s="13"/>
      <c r="L2" s="14"/>
      <c r="M2" s="13"/>
      <c r="N2" s="13"/>
    </row>
    <row r="3" spans="1:14" ht="15" thickTop="1" thickBot="1" x14ac:dyDescent="0.3">
      <c r="A3" s="77" t="s">
        <v>75</v>
      </c>
      <c r="B3" s="5">
        <v>198</v>
      </c>
      <c r="C3" s="42">
        <f>'נתוני מטוסים'!B63</f>
        <v>37</v>
      </c>
      <c r="D3" s="41">
        <f>C3*B3</f>
        <v>7326</v>
      </c>
      <c r="E3" s="13"/>
      <c r="F3" s="13"/>
      <c r="G3" s="13"/>
      <c r="H3" s="13"/>
      <c r="I3" s="13"/>
      <c r="J3" s="1" t="s">
        <v>38</v>
      </c>
      <c r="K3" s="13"/>
      <c r="L3" s="14"/>
      <c r="M3" s="13"/>
      <c r="N3" s="13"/>
    </row>
    <row r="4" spans="1:14" ht="15" thickTop="1" thickBot="1" x14ac:dyDescent="0.3">
      <c r="A4" s="77" t="s">
        <v>76</v>
      </c>
      <c r="B4" s="5">
        <v>187</v>
      </c>
      <c r="C4" s="42">
        <f>'נתוני מטוסים'!B63</f>
        <v>37</v>
      </c>
      <c r="D4" s="41">
        <f>B4*C4</f>
        <v>6919</v>
      </c>
      <c r="E4" s="13"/>
      <c r="F4" s="13"/>
      <c r="G4" s="13"/>
      <c r="H4" s="13"/>
      <c r="I4" s="13"/>
      <c r="J4" s="1">
        <f>B5+B6</f>
        <v>0</v>
      </c>
      <c r="K4" s="13"/>
      <c r="L4" s="14"/>
      <c r="M4" s="13"/>
      <c r="N4" s="13"/>
    </row>
    <row r="5" spans="1:14" ht="15" thickTop="1" thickBot="1" x14ac:dyDescent="0.3">
      <c r="A5" s="78" t="s">
        <v>77</v>
      </c>
      <c r="B5" s="5"/>
      <c r="C5" s="42">
        <f>'נתוני מטוסים'!B64</f>
        <v>73</v>
      </c>
      <c r="D5" s="41">
        <f>B5*C5</f>
        <v>0</v>
      </c>
      <c r="E5" s="13"/>
      <c r="F5" s="13"/>
      <c r="G5" s="13"/>
      <c r="H5" s="13"/>
      <c r="I5" s="13"/>
      <c r="J5" s="1" t="s">
        <v>37</v>
      </c>
      <c r="K5" s="13"/>
      <c r="L5" s="14"/>
      <c r="M5" s="13"/>
      <c r="N5" s="13"/>
    </row>
    <row r="6" spans="1:14" ht="15" thickTop="1" thickBot="1" x14ac:dyDescent="0.3">
      <c r="A6" s="78" t="s">
        <v>78</v>
      </c>
      <c r="B6" s="5"/>
      <c r="C6" s="42">
        <f>'נתוני מטוסים'!B64</f>
        <v>73</v>
      </c>
      <c r="D6" s="41">
        <f>C6*B6</f>
        <v>0</v>
      </c>
      <c r="E6" s="13"/>
      <c r="F6" s="13"/>
      <c r="G6" s="13"/>
      <c r="H6" s="13"/>
      <c r="I6" s="13"/>
      <c r="J6" s="65">
        <f>B9/2</f>
        <v>20</v>
      </c>
      <c r="K6" s="13"/>
      <c r="L6" s="14"/>
      <c r="M6" s="13"/>
      <c r="N6" s="13"/>
    </row>
    <row r="7" spans="1:14" ht="15" thickTop="1" thickBot="1" x14ac:dyDescent="0.3">
      <c r="A7" s="79" t="s">
        <v>79</v>
      </c>
      <c r="B7" s="5"/>
      <c r="C7" s="42">
        <f>'נתוני מטוסים'!B65</f>
        <v>95</v>
      </c>
      <c r="D7" s="41">
        <f>B7*C7</f>
        <v>0</v>
      </c>
      <c r="E7" s="294"/>
      <c r="F7" s="295"/>
      <c r="G7" s="13"/>
      <c r="H7" s="13"/>
      <c r="I7" s="13"/>
      <c r="J7" s="1" t="s">
        <v>36</v>
      </c>
      <c r="K7" s="13"/>
      <c r="L7" s="14"/>
      <c r="M7" s="13"/>
      <c r="N7" s="13"/>
    </row>
    <row r="8" spans="1:14" ht="15" thickTop="1" thickBot="1" x14ac:dyDescent="0.3">
      <c r="A8" s="80" t="s">
        <v>80</v>
      </c>
      <c r="B8" s="5"/>
      <c r="C8" s="42">
        <f>'נתוני מטוסים'!B66</f>
        <v>123</v>
      </c>
      <c r="D8" s="41">
        <f>C8*B8</f>
        <v>0</v>
      </c>
      <c r="E8" s="13"/>
      <c r="F8" s="43"/>
      <c r="G8" s="13"/>
      <c r="H8" s="13"/>
      <c r="I8" s="13"/>
      <c r="J8" s="1">
        <f>'נתוני מטוסים'!B18</f>
        <v>62</v>
      </c>
      <c r="K8" s="13"/>
      <c r="L8" s="14"/>
      <c r="M8" s="13"/>
      <c r="N8" s="13"/>
    </row>
    <row r="9" spans="1:14" ht="15" thickTop="1" thickBot="1" x14ac:dyDescent="0.3">
      <c r="A9" s="52" t="s">
        <v>14</v>
      </c>
      <c r="B9" s="5">
        <v>40</v>
      </c>
      <c r="C9" s="42">
        <f>'נתוני מטוסים'!B62</f>
        <v>48</v>
      </c>
      <c r="D9" s="41">
        <f>C9*B9*6</f>
        <v>11520</v>
      </c>
      <c r="E9" s="13"/>
      <c r="F9" s="43"/>
      <c r="G9" s="13"/>
      <c r="H9" s="13"/>
      <c r="I9" s="13"/>
      <c r="J9" s="1" t="s">
        <v>40</v>
      </c>
      <c r="K9" s="13"/>
      <c r="L9" s="14"/>
      <c r="M9" s="13"/>
      <c r="N9" s="13"/>
    </row>
    <row r="10" spans="1:14" ht="15" thickTop="1" x14ac:dyDescent="0.2">
      <c r="A10" s="15"/>
      <c r="B10" s="13"/>
      <c r="C10" s="13"/>
      <c r="D10" s="13"/>
      <c r="E10" s="295"/>
      <c r="F10" s="303"/>
      <c r="G10" s="13"/>
      <c r="H10" s="13"/>
      <c r="I10" s="13"/>
      <c r="J10" s="65">
        <f>'נתוני מטוסים'!B16</f>
        <v>120</v>
      </c>
      <c r="K10" s="13"/>
      <c r="L10" s="14"/>
      <c r="M10" s="13"/>
      <c r="N10" s="13"/>
    </row>
    <row r="11" spans="1:14" x14ac:dyDescent="0.25">
      <c r="A11" s="292" t="s">
        <v>19</v>
      </c>
      <c r="B11" s="293"/>
      <c r="C11" s="13"/>
      <c r="D11" s="13"/>
      <c r="E11" s="13"/>
      <c r="F11" s="13"/>
      <c r="G11" s="13"/>
      <c r="H11" s="13"/>
      <c r="I11" s="13"/>
      <c r="J11" s="1" t="s">
        <v>41</v>
      </c>
      <c r="K11" s="13"/>
      <c r="L11" s="14"/>
      <c r="M11" s="13"/>
      <c r="N11" s="13"/>
    </row>
    <row r="12" spans="1:14" x14ac:dyDescent="0.25">
      <c r="A12" s="53" t="s">
        <v>20</v>
      </c>
      <c r="B12" s="45">
        <f>SUM(D2:D9)/B13</f>
        <v>39.301176470588238</v>
      </c>
      <c r="C12" s="13"/>
      <c r="D12" s="13"/>
      <c r="E12" s="13"/>
      <c r="F12" s="13"/>
      <c r="G12" s="13"/>
      <c r="H12" s="13"/>
      <c r="I12" s="13"/>
      <c r="J12" s="65">
        <f>'נתוני מטוסים'!B17</f>
        <v>50</v>
      </c>
      <c r="K12" s="13"/>
      <c r="L12" s="14"/>
      <c r="M12" s="13"/>
      <c r="N12" s="13"/>
    </row>
    <row r="13" spans="1:14" x14ac:dyDescent="0.25">
      <c r="A13" s="54" t="s">
        <v>15</v>
      </c>
      <c r="B13" s="40">
        <f>B2+(B9*6)+(SUM(B3:B8))</f>
        <v>2125</v>
      </c>
      <c r="C13" s="13"/>
      <c r="D13" s="13"/>
      <c r="E13" s="13"/>
      <c r="F13" s="13"/>
      <c r="G13" s="13"/>
      <c r="H13" s="13"/>
      <c r="I13" s="13"/>
      <c r="J13" s="13" t="s">
        <v>64</v>
      </c>
      <c r="K13" s="13"/>
      <c r="L13" s="14"/>
      <c r="M13" s="13"/>
      <c r="N13" s="13"/>
    </row>
    <row r="14" spans="1:14" ht="14.25" x14ac:dyDescent="0.2">
      <c r="A14" s="15"/>
      <c r="B14" s="13"/>
      <c r="C14" s="13"/>
      <c r="D14" s="13"/>
      <c r="E14" s="13"/>
      <c r="F14" s="13"/>
      <c r="G14" s="13"/>
      <c r="H14" s="13"/>
      <c r="I14" s="13"/>
      <c r="J14" s="13">
        <f>J8/4</f>
        <v>15.5</v>
      </c>
      <c r="K14" s="13"/>
      <c r="L14" s="14"/>
      <c r="M14" s="13"/>
      <c r="N14" s="13"/>
    </row>
    <row r="15" spans="1:14" x14ac:dyDescent="0.25">
      <c r="A15" s="55" t="s">
        <v>18</v>
      </c>
      <c r="B15" s="220"/>
      <c r="C15" s="13"/>
      <c r="D15" s="13"/>
      <c r="E15" s="13"/>
      <c r="F15" s="13"/>
      <c r="G15" s="13"/>
      <c r="H15" s="13"/>
      <c r="I15" s="13"/>
      <c r="J15" s="13"/>
      <c r="K15" s="13"/>
      <c r="L15" s="14"/>
      <c r="M15" s="13"/>
      <c r="N15" s="13"/>
    </row>
    <row r="16" spans="1:14" ht="15" x14ac:dyDescent="0.25">
      <c r="A16" s="57" t="str">
        <f>IF(B12&gt;'נתוני מטוסים'!B67,"חרגת ממגבלת מרכז כובד אחורי",IF(B12&lt;'נתוני מטוסים'!B68,"חרגת ממגבלת מרכז כובד קדמי","מרכז כובד תקין"))</f>
        <v>מרכז כובד תקין</v>
      </c>
      <c r="B16" s="220"/>
      <c r="C16" s="13"/>
      <c r="D16" s="13"/>
      <c r="E16" s="13"/>
      <c r="F16" s="13"/>
      <c r="G16" s="13"/>
      <c r="H16" s="13"/>
      <c r="I16" s="13"/>
      <c r="J16" s="13"/>
      <c r="K16" s="13"/>
      <c r="L16" s="14"/>
      <c r="M16" s="13"/>
      <c r="N16" s="13"/>
    </row>
    <row r="17" spans="1:14" ht="15" x14ac:dyDescent="0.25">
      <c r="A17" s="57" t="str">
        <f>IF(B13&gt;'נתוני מטוסים'!B71,"חרגת מהמשקל המקסימלי","משקל המראה תקין")</f>
        <v>משקל המראה תקין</v>
      </c>
      <c r="B17" s="220"/>
      <c r="C17" s="13"/>
      <c r="D17" s="13"/>
      <c r="E17" s="13"/>
      <c r="F17" s="13"/>
      <c r="G17" s="13"/>
      <c r="H17" s="13"/>
      <c r="I17" s="13"/>
      <c r="J17" s="13"/>
      <c r="K17" s="13"/>
      <c r="L17" s="14"/>
      <c r="M17" s="13"/>
      <c r="N17" s="13"/>
    </row>
    <row r="18" spans="1:14" ht="15" x14ac:dyDescent="0.25">
      <c r="A18" s="57" t="str">
        <f>IF(B9&lt;J14,"יש פחות מרבע טנק דלק","יש מעל רבע טנק דלק")</f>
        <v>יש מעל רבע טנק דלק</v>
      </c>
      <c r="B18" s="13"/>
      <c r="C18" s="13"/>
      <c r="D18" s="13"/>
      <c r="E18" s="13"/>
      <c r="F18" s="13"/>
      <c r="G18" s="13"/>
      <c r="H18" s="13"/>
      <c r="I18" s="13"/>
      <c r="J18" s="13"/>
      <c r="K18" s="13"/>
      <c r="L18" s="14"/>
      <c r="M18" s="13"/>
      <c r="N18" s="13"/>
    </row>
    <row r="19" spans="1:14" ht="15" x14ac:dyDescent="0.25">
      <c r="A19" s="57" t="str">
        <f>IF(SUM(B7:B8)&gt;'נתוני מטוסים'!B73, "חריגה במשקל תאי המטען","משקל תאי מטען תקין")</f>
        <v>משקל תאי מטען תקין</v>
      </c>
      <c r="B19" s="13"/>
      <c r="C19" s="13"/>
      <c r="D19" s="13"/>
      <c r="E19" s="13"/>
      <c r="F19" s="13"/>
      <c r="G19" s="13"/>
      <c r="H19" s="13"/>
      <c r="I19" s="13"/>
      <c r="J19" s="13"/>
      <c r="K19" s="46"/>
      <c r="L19" s="14"/>
      <c r="M19" s="13"/>
      <c r="N19" s="13"/>
    </row>
    <row r="20" spans="1:14" ht="14.25" x14ac:dyDescent="0.2">
      <c r="A20" s="15"/>
      <c r="B20" s="13"/>
      <c r="C20" s="13"/>
      <c r="D20" s="13"/>
      <c r="E20" s="13"/>
      <c r="F20" s="13"/>
      <c r="G20" s="13"/>
      <c r="H20" s="13"/>
      <c r="I20" s="13"/>
      <c r="J20" s="13"/>
      <c r="K20" s="13"/>
      <c r="L20" s="14"/>
      <c r="M20" s="13"/>
      <c r="N20" s="13"/>
    </row>
    <row r="21" spans="1:14" ht="14.25" x14ac:dyDescent="0.2">
      <c r="A21" s="219" t="s">
        <v>72</v>
      </c>
      <c r="B21" s="13"/>
      <c r="C21" s="13"/>
      <c r="D21" s="13"/>
      <c r="E21" s="13"/>
      <c r="F21" s="13"/>
      <c r="G21" s="13"/>
      <c r="H21" s="13"/>
      <c r="I21" s="13"/>
      <c r="J21" s="13"/>
      <c r="K21" s="13"/>
      <c r="L21" s="14"/>
      <c r="M21" s="13"/>
      <c r="N21" s="13"/>
    </row>
    <row r="22" spans="1:14" ht="15" x14ac:dyDescent="0.25">
      <c r="A22" s="81">
        <f>'נתוני מטוסים'!B71</f>
        <v>2550</v>
      </c>
      <c r="B22" s="13"/>
      <c r="C22" s="13"/>
      <c r="D22" s="13"/>
      <c r="E22" s="13"/>
      <c r="F22" s="13"/>
      <c r="G22" s="13"/>
      <c r="H22" s="13"/>
      <c r="I22" s="13"/>
      <c r="J22" s="13"/>
      <c r="K22" s="13"/>
      <c r="L22" s="14"/>
      <c r="M22" s="13"/>
      <c r="N22" s="13"/>
    </row>
    <row r="23" spans="1:14" ht="14.25" x14ac:dyDescent="0.2">
      <c r="A23" s="15"/>
      <c r="B23" s="13"/>
      <c r="C23" s="13"/>
      <c r="D23" s="13"/>
      <c r="E23" s="13"/>
      <c r="F23" s="13"/>
      <c r="G23" s="13"/>
      <c r="H23" s="13"/>
      <c r="I23" s="13"/>
      <c r="J23" s="13"/>
      <c r="K23" s="13"/>
      <c r="L23" s="14"/>
      <c r="M23" s="13"/>
      <c r="N23" s="13"/>
    </row>
    <row r="24" spans="1:14" ht="14.25" x14ac:dyDescent="0.2">
      <c r="A24" s="15"/>
      <c r="B24" s="13"/>
      <c r="C24" s="13"/>
      <c r="D24" s="13"/>
      <c r="E24" s="13"/>
      <c r="F24" s="13"/>
      <c r="G24" s="13"/>
      <c r="H24" s="13"/>
      <c r="I24" s="13"/>
      <c r="J24" s="13"/>
      <c r="K24" s="13"/>
      <c r="L24" s="14"/>
      <c r="M24" s="13"/>
      <c r="N24" s="13"/>
    </row>
    <row r="25" spans="1:14" ht="14.25" x14ac:dyDescent="0.2">
      <c r="A25" s="15"/>
      <c r="B25" s="13"/>
      <c r="C25" s="13"/>
      <c r="D25" s="13"/>
      <c r="E25" s="13"/>
      <c r="F25" s="13"/>
      <c r="G25" s="13"/>
      <c r="H25" s="13"/>
      <c r="I25" s="13"/>
      <c r="J25" s="13"/>
      <c r="K25" s="13"/>
      <c r="L25" s="14"/>
      <c r="M25" s="13"/>
      <c r="N25" s="13"/>
    </row>
    <row r="26" spans="1:14" ht="14.25" x14ac:dyDescent="0.2">
      <c r="A26" s="15"/>
      <c r="B26" s="13"/>
      <c r="C26" s="13"/>
      <c r="D26" s="13"/>
      <c r="E26" s="13"/>
      <c r="F26" s="13"/>
      <c r="G26" s="13"/>
      <c r="H26" s="13"/>
      <c r="I26" s="13"/>
      <c r="J26" s="13"/>
      <c r="K26" s="13"/>
      <c r="L26" s="14"/>
      <c r="M26" s="13"/>
      <c r="N26" s="13"/>
    </row>
    <row r="27" spans="1:14" ht="14.25" x14ac:dyDescent="0.2">
      <c r="A27" s="15"/>
      <c r="B27" s="13"/>
      <c r="C27" s="13"/>
      <c r="D27" s="13"/>
      <c r="E27" s="13"/>
      <c r="F27" s="13"/>
      <c r="G27" s="13"/>
      <c r="H27" s="13"/>
      <c r="I27" s="13"/>
      <c r="J27" s="13"/>
      <c r="K27" s="13"/>
      <c r="L27" s="14"/>
      <c r="M27" s="13"/>
      <c r="N27" s="13"/>
    </row>
    <row r="28" spans="1:14" ht="14.25" x14ac:dyDescent="0.2">
      <c r="A28" s="15"/>
      <c r="B28" s="13"/>
      <c r="C28" s="13"/>
      <c r="D28" s="13"/>
      <c r="E28" s="13"/>
      <c r="F28" s="13"/>
      <c r="G28" s="13"/>
      <c r="H28" s="13"/>
      <c r="I28" s="13"/>
      <c r="J28" s="13"/>
      <c r="K28" s="13"/>
      <c r="L28" s="14"/>
      <c r="M28" s="13"/>
      <c r="N28" s="13"/>
    </row>
    <row r="29" spans="1:14" ht="15" thickBot="1" x14ac:dyDescent="0.25">
      <c r="A29" s="15"/>
      <c r="B29" s="13"/>
      <c r="C29" s="13"/>
      <c r="D29" s="13"/>
      <c r="E29" s="13"/>
      <c r="F29" s="13"/>
      <c r="G29" s="13"/>
      <c r="H29" s="13"/>
      <c r="I29" s="13"/>
      <c r="J29" s="13"/>
      <c r="K29" s="13"/>
      <c r="L29" s="14"/>
      <c r="M29" s="13"/>
      <c r="N29" s="13"/>
    </row>
    <row r="30" spans="1:14" ht="15.6" x14ac:dyDescent="0.3">
      <c r="A30" s="73" t="s">
        <v>83</v>
      </c>
      <c r="B30" s="10"/>
      <c r="C30" s="10"/>
      <c r="D30" s="10"/>
      <c r="E30" s="10"/>
      <c r="F30" s="10"/>
      <c r="G30" s="11"/>
      <c r="H30" s="13"/>
      <c r="I30" s="13"/>
      <c r="J30" s="13"/>
      <c r="K30" s="13"/>
      <c r="L30" s="14"/>
      <c r="M30" s="13"/>
      <c r="N30" s="13"/>
    </row>
    <row r="31" spans="1:14" ht="15.6" x14ac:dyDescent="0.3">
      <c r="A31" s="72" t="s">
        <v>84</v>
      </c>
      <c r="B31" s="13"/>
      <c r="C31" s="13"/>
      <c r="D31" s="13"/>
      <c r="E31" s="13"/>
      <c r="F31" s="13"/>
      <c r="G31" s="14"/>
      <c r="H31" s="13"/>
      <c r="I31" s="13"/>
      <c r="J31" s="13"/>
      <c r="K31" s="13"/>
      <c r="L31" s="14"/>
      <c r="M31" s="13"/>
      <c r="N31" s="13"/>
    </row>
    <row r="32" spans="1:14" ht="16.2" thickBot="1" x14ac:dyDescent="0.35">
      <c r="A32" s="74" t="s">
        <v>86</v>
      </c>
      <c r="B32" s="16"/>
      <c r="C32" s="16"/>
      <c r="D32" s="16"/>
      <c r="E32" s="16"/>
      <c r="F32" s="16"/>
      <c r="G32" s="17"/>
      <c r="H32" s="16"/>
      <c r="I32" s="16"/>
      <c r="J32" s="16"/>
      <c r="K32" s="16"/>
      <c r="L32" s="17"/>
      <c r="M32" s="13"/>
      <c r="N32" s="13"/>
    </row>
  </sheetData>
  <sheetProtection selectLockedCells="1"/>
  <mergeCells count="3">
    <mergeCell ref="E7:F7"/>
    <mergeCell ref="E10:F10"/>
    <mergeCell ref="A11:B11"/>
  </mergeCells>
  <conditionalFormatting sqref="A19">
    <cfRule type="cellIs" dxfId="2" priority="1" operator="equal">
      <formula>"חריגה במשקל תאי המטען"</formula>
    </cfRule>
  </conditionalFormatting>
  <conditionalFormatting sqref="A17">
    <cfRule type="containsText" dxfId="1" priority="3" operator="containsText" text="חרגת מהמשקל המקסימלי">
      <formula>NOT(ISERROR(SEARCH("חרגת מהמשקל המקסימלי",A17)))</formula>
    </cfRule>
  </conditionalFormatting>
  <conditionalFormatting sqref="A18">
    <cfRule type="containsText" dxfId="0" priority="2" operator="containsText" text="יש פחות מרבע טנק דלק">
      <formula>NOT(ISERROR(SEARCH("יש פחות מרבע טנק דלק",A18)))</formula>
    </cfRule>
  </conditionalFormatting>
  <dataValidations count="4">
    <dataValidation type="whole" allowBlank="1" showInputMessage="1" showErrorMessage="1" sqref="B2">
      <formula1>1</formula1>
      <formula2>2400</formula2>
    </dataValidation>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7">
      <formula1>0</formula1>
      <formula2>J10</formula2>
    </dataValidation>
    <dataValidation type="whole" allowBlank="1" showErrorMessage="1" errorTitle="הזנה שגויה" error="יש להזין מספרים בלבד בטווח שתואם את מגבלות המטוס. את נתוני המטוס ומגבלותיו ניתן למצוא בלשונית &quot;נתוני מטוסים&quot;" promptTitle="הזן משקל מטען אחרי בק&quot;ג" sqref="B8">
      <formula1>0</formula1>
      <formula2>J12</formula2>
    </dataValidation>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9">
      <formula1>1</formula1>
      <formula2>J8</formula2>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dimension ref="A1:P96"/>
  <sheetViews>
    <sheetView rightToLeft="1" topLeftCell="A37" workbookViewId="0">
      <selection activeCell="H76" sqref="H76"/>
    </sheetView>
  </sheetViews>
  <sheetFormatPr defaultColWidth="9" defaultRowHeight="13.8" x14ac:dyDescent="0.25"/>
  <cols>
    <col min="1" max="1" width="32.69921875" style="2" bestFit="1" customWidth="1"/>
    <col min="2" max="6" width="9" style="2"/>
    <col min="7" max="7" width="32.69921875" style="2" bestFit="1" customWidth="1"/>
    <col min="8" max="12" width="9" style="2"/>
    <col min="13" max="13" width="29.59765625" style="2" customWidth="1"/>
    <col min="14" max="14" width="9" style="2"/>
    <col min="15" max="15" width="0" style="2" hidden="1" customWidth="1"/>
    <col min="16" max="16" width="15" style="2" hidden="1" customWidth="1"/>
    <col min="17" max="17" width="0" style="2" hidden="1" customWidth="1"/>
    <col min="18" max="16384" width="9" style="2"/>
  </cols>
  <sheetData>
    <row r="1" spans="1:16" ht="15" x14ac:dyDescent="0.25">
      <c r="A1" s="240" t="s">
        <v>291</v>
      </c>
      <c r="B1" s="241"/>
      <c r="C1" s="241"/>
      <c r="D1" s="241"/>
      <c r="E1" s="242"/>
      <c r="G1" s="240" t="s">
        <v>292</v>
      </c>
      <c r="H1" s="241"/>
      <c r="I1" s="241"/>
      <c r="J1" s="241"/>
      <c r="K1" s="242"/>
    </row>
    <row r="2" spans="1:16" ht="14.4" thickBot="1" x14ac:dyDescent="0.3">
      <c r="A2" s="238" t="s">
        <v>22</v>
      </c>
      <c r="B2" s="239"/>
      <c r="C2" s="4"/>
      <c r="D2" s="19" t="s">
        <v>16</v>
      </c>
      <c r="E2" s="21"/>
      <c r="G2" s="238" t="s">
        <v>22</v>
      </c>
      <c r="H2" s="239"/>
      <c r="I2" s="4"/>
      <c r="J2" s="19" t="s">
        <v>16</v>
      </c>
      <c r="K2" s="21"/>
    </row>
    <row r="3" spans="1:16" ht="15" thickTop="1" thickBot="1" x14ac:dyDescent="0.3">
      <c r="A3" s="23" t="s">
        <v>26</v>
      </c>
      <c r="B3" s="6">
        <v>40.700000000000003</v>
      </c>
      <c r="C3" s="4"/>
      <c r="D3" s="20" t="s">
        <v>11</v>
      </c>
      <c r="E3" s="48" t="s">
        <v>10</v>
      </c>
      <c r="G3" s="23" t="s">
        <v>26</v>
      </c>
      <c r="H3" s="6">
        <v>39.840000000000003</v>
      </c>
      <c r="I3" s="4"/>
      <c r="J3" s="20" t="s">
        <v>11</v>
      </c>
      <c r="K3" s="48" t="s">
        <v>10</v>
      </c>
    </row>
    <row r="4" spans="1:16" ht="15" thickTop="1" thickBot="1" x14ac:dyDescent="0.3">
      <c r="A4" s="23" t="s">
        <v>27</v>
      </c>
      <c r="B4" s="6">
        <v>48</v>
      </c>
      <c r="C4" s="4"/>
      <c r="D4" s="24">
        <v>1500</v>
      </c>
      <c r="E4" s="25">
        <f>B10</f>
        <v>35</v>
      </c>
      <c r="G4" s="23" t="s">
        <v>27</v>
      </c>
      <c r="H4" s="6">
        <v>48</v>
      </c>
      <c r="I4" s="4"/>
      <c r="J4" s="24">
        <v>1500</v>
      </c>
      <c r="K4" s="25">
        <f>H10</f>
        <v>35</v>
      </c>
    </row>
    <row r="5" spans="1:16" ht="15" thickTop="1" thickBot="1" x14ac:dyDescent="0.3">
      <c r="A5" s="23" t="s">
        <v>28</v>
      </c>
      <c r="B5" s="6">
        <v>37</v>
      </c>
      <c r="C5" s="4"/>
      <c r="D5" s="24">
        <v>1960</v>
      </c>
      <c r="E5" s="26">
        <f>B10</f>
        <v>35</v>
      </c>
      <c r="G5" s="23" t="s">
        <v>28</v>
      </c>
      <c r="H5" s="6">
        <v>37</v>
      </c>
      <c r="I5" s="4"/>
      <c r="J5" s="24">
        <v>1960</v>
      </c>
      <c r="K5" s="26">
        <f>H10</f>
        <v>35</v>
      </c>
    </row>
    <row r="6" spans="1:16" ht="15" thickTop="1" thickBot="1" x14ac:dyDescent="0.3">
      <c r="A6" s="23" t="s">
        <v>29</v>
      </c>
      <c r="B6" s="6">
        <v>73</v>
      </c>
      <c r="C6" s="4"/>
      <c r="D6" s="27">
        <f>B13</f>
        <v>2400</v>
      </c>
      <c r="E6" s="28">
        <v>39.6</v>
      </c>
      <c r="G6" s="23" t="s">
        <v>29</v>
      </c>
      <c r="H6" s="6">
        <v>73</v>
      </c>
      <c r="I6" s="4"/>
      <c r="J6" s="27">
        <f>H13</f>
        <v>2400</v>
      </c>
      <c r="K6" s="28">
        <v>39.6</v>
      </c>
    </row>
    <row r="7" spans="1:16" ht="15" thickTop="1" thickBot="1" x14ac:dyDescent="0.3">
      <c r="A7" s="23" t="s">
        <v>30</v>
      </c>
      <c r="B7" s="6">
        <v>95</v>
      </c>
      <c r="C7" s="4"/>
      <c r="D7" s="3">
        <f>B13</f>
        <v>2400</v>
      </c>
      <c r="E7" s="29">
        <f>B9</f>
        <v>47.3</v>
      </c>
      <c r="G7" s="23" t="s">
        <v>30</v>
      </c>
      <c r="H7" s="6">
        <v>95</v>
      </c>
      <c r="I7" s="4"/>
      <c r="J7" s="3">
        <f>H13</f>
        <v>2400</v>
      </c>
      <c r="K7" s="29">
        <f>H9</f>
        <v>47.3</v>
      </c>
    </row>
    <row r="8" spans="1:16" ht="15" thickTop="1" thickBot="1" x14ac:dyDescent="0.3">
      <c r="A8" s="23" t="s">
        <v>31</v>
      </c>
      <c r="B8" s="6">
        <v>123</v>
      </c>
      <c r="C8" s="4"/>
      <c r="D8" s="24">
        <v>1500</v>
      </c>
      <c r="E8" s="25">
        <f>B9</f>
        <v>47.3</v>
      </c>
      <c r="G8" s="23" t="s">
        <v>31</v>
      </c>
      <c r="H8" s="6">
        <v>123</v>
      </c>
      <c r="I8" s="4"/>
      <c r="J8" s="24">
        <v>1500</v>
      </c>
      <c r="K8" s="25">
        <f>H9</f>
        <v>47.3</v>
      </c>
    </row>
    <row r="9" spans="1:16" ht="15" thickTop="1" thickBot="1" x14ac:dyDescent="0.3">
      <c r="A9" s="23" t="s">
        <v>33</v>
      </c>
      <c r="B9" s="6">
        <v>47.3</v>
      </c>
      <c r="C9" s="4"/>
      <c r="D9" s="1"/>
      <c r="E9" s="30"/>
      <c r="G9" s="23" t="s">
        <v>33</v>
      </c>
      <c r="H9" s="6">
        <v>47.3</v>
      </c>
      <c r="I9" s="4"/>
      <c r="J9" s="1"/>
      <c r="K9" s="30"/>
    </row>
    <row r="10" spans="1:16" ht="15" thickTop="1" thickBot="1" x14ac:dyDescent="0.3">
      <c r="A10" s="23" t="s">
        <v>32</v>
      </c>
      <c r="B10" s="6">
        <v>35</v>
      </c>
      <c r="C10" s="4"/>
      <c r="D10" s="19" t="s">
        <v>17</v>
      </c>
      <c r="E10" s="21"/>
      <c r="G10" s="23" t="s">
        <v>32</v>
      </c>
      <c r="H10" s="6">
        <v>35</v>
      </c>
      <c r="I10" s="4"/>
      <c r="J10" s="19" t="s">
        <v>17</v>
      </c>
      <c r="K10" s="21"/>
    </row>
    <row r="11" spans="1:16" ht="42.6" thickTop="1" thickBot="1" x14ac:dyDescent="0.3">
      <c r="A11" s="31"/>
      <c r="B11" s="4"/>
      <c r="C11" s="4"/>
      <c r="D11" s="20" t="s">
        <v>11</v>
      </c>
      <c r="E11" s="22" t="s">
        <v>10</v>
      </c>
      <c r="G11" s="31"/>
      <c r="H11" s="4"/>
      <c r="I11" s="4"/>
      <c r="J11" s="20" t="s">
        <v>11</v>
      </c>
      <c r="K11" s="22" t="s">
        <v>10</v>
      </c>
      <c r="M11" s="60" t="s">
        <v>73</v>
      </c>
    </row>
    <row r="12" spans="1:16" ht="15" thickTop="1" thickBot="1" x14ac:dyDescent="0.3">
      <c r="A12" s="238" t="s">
        <v>35</v>
      </c>
      <c r="B12" s="239"/>
      <c r="C12" s="4"/>
      <c r="D12" s="6">
        <v>2100</v>
      </c>
      <c r="E12" s="32">
        <v>36.5</v>
      </c>
      <c r="G12" s="238" t="s">
        <v>35</v>
      </c>
      <c r="H12" s="239"/>
      <c r="I12" s="4"/>
      <c r="J12" s="6">
        <v>2100</v>
      </c>
      <c r="K12" s="32">
        <v>36.5</v>
      </c>
    </row>
    <row r="13" spans="1:16" ht="15" thickTop="1" thickBot="1" x14ac:dyDescent="0.3">
      <c r="A13" s="23" t="s">
        <v>34</v>
      </c>
      <c r="B13" s="6">
        <v>2400</v>
      </c>
      <c r="C13" s="4"/>
      <c r="D13" s="6">
        <v>2100</v>
      </c>
      <c r="E13" s="32">
        <v>40.5</v>
      </c>
      <c r="G13" s="23" t="s">
        <v>34</v>
      </c>
      <c r="H13" s="6">
        <v>2400</v>
      </c>
      <c r="I13" s="4"/>
      <c r="J13" s="6">
        <v>2100</v>
      </c>
      <c r="K13" s="32">
        <v>40.5</v>
      </c>
      <c r="M13" s="69" t="s">
        <v>81</v>
      </c>
    </row>
    <row r="14" spans="1:16" ht="15" thickTop="1" thickBot="1" x14ac:dyDescent="0.3">
      <c r="A14" s="23" t="s">
        <v>25</v>
      </c>
      <c r="B14" s="6">
        <v>1477</v>
      </c>
      <c r="C14" s="4"/>
      <c r="D14" s="6">
        <v>1500</v>
      </c>
      <c r="E14" s="32">
        <v>40.5</v>
      </c>
      <c r="G14" s="23" t="s">
        <v>25</v>
      </c>
      <c r="H14" s="6">
        <v>1572</v>
      </c>
      <c r="I14" s="4"/>
      <c r="J14" s="6">
        <v>1500</v>
      </c>
      <c r="K14" s="32">
        <v>40.5</v>
      </c>
      <c r="M14" s="70" t="s">
        <v>305</v>
      </c>
      <c r="P14" s="75">
        <f ca="1">NOW()</f>
        <v>44732.463645949072</v>
      </c>
    </row>
    <row r="15" spans="1:16" ht="15" thickTop="1" thickBot="1" x14ac:dyDescent="0.3">
      <c r="A15" s="23" t="s">
        <v>85</v>
      </c>
      <c r="B15" s="6">
        <v>120</v>
      </c>
      <c r="C15" s="4"/>
      <c r="D15" s="4"/>
      <c r="E15" s="30"/>
      <c r="G15" s="23" t="s">
        <v>85</v>
      </c>
      <c r="H15" s="6">
        <v>120</v>
      </c>
      <c r="I15" s="4"/>
      <c r="J15" s="4"/>
      <c r="K15" s="30"/>
      <c r="M15" s="82"/>
      <c r="P15" s="75"/>
    </row>
    <row r="16" spans="1:16" ht="15" thickTop="1" thickBot="1" x14ac:dyDescent="0.3">
      <c r="A16" s="23" t="s">
        <v>52</v>
      </c>
      <c r="B16" s="6">
        <v>120</v>
      </c>
      <c r="C16" s="4"/>
      <c r="D16" s="4"/>
      <c r="E16" s="30"/>
      <c r="G16" s="23" t="s">
        <v>52</v>
      </c>
      <c r="H16" s="6">
        <v>120</v>
      </c>
      <c r="I16" s="4"/>
      <c r="J16" s="4"/>
      <c r="K16" s="30"/>
    </row>
    <row r="17" spans="1:11" ht="15" thickTop="1" thickBot="1" x14ac:dyDescent="0.3">
      <c r="A17" s="23" t="s">
        <v>53</v>
      </c>
      <c r="B17" s="6">
        <v>50</v>
      </c>
      <c r="C17" s="4"/>
      <c r="D17" s="4"/>
      <c r="E17" s="30"/>
      <c r="G17" s="23" t="s">
        <v>53</v>
      </c>
      <c r="H17" s="6">
        <v>50</v>
      </c>
      <c r="I17" s="4"/>
      <c r="J17" s="4"/>
      <c r="K17" s="30"/>
    </row>
    <row r="18" spans="1:11" ht="15" thickTop="1" thickBot="1" x14ac:dyDescent="0.3">
      <c r="A18" s="33" t="s">
        <v>36</v>
      </c>
      <c r="B18" s="34">
        <v>62</v>
      </c>
      <c r="C18" s="35"/>
      <c r="D18" s="35"/>
      <c r="E18" s="36"/>
      <c r="G18" s="33" t="s">
        <v>36</v>
      </c>
      <c r="H18" s="34">
        <v>62</v>
      </c>
      <c r="I18" s="35"/>
      <c r="J18" s="35"/>
      <c r="K18" s="36"/>
    </row>
    <row r="19" spans="1:11" ht="15" thickBot="1" x14ac:dyDescent="0.25"/>
    <row r="20" spans="1:11" ht="15" x14ac:dyDescent="0.25">
      <c r="A20" s="240" t="s">
        <v>293</v>
      </c>
      <c r="B20" s="241"/>
      <c r="C20" s="241"/>
      <c r="D20" s="241"/>
      <c r="E20" s="242"/>
      <c r="G20" s="240" t="s">
        <v>294</v>
      </c>
      <c r="H20" s="241"/>
      <c r="I20" s="241"/>
      <c r="J20" s="241"/>
      <c r="K20" s="242"/>
    </row>
    <row r="21" spans="1:11" ht="14.4" thickBot="1" x14ac:dyDescent="0.3">
      <c r="A21" s="238" t="s">
        <v>22</v>
      </c>
      <c r="B21" s="239"/>
      <c r="C21" s="4"/>
      <c r="D21" s="19" t="s">
        <v>16</v>
      </c>
      <c r="E21" s="21"/>
      <c r="G21" s="238" t="s">
        <v>22</v>
      </c>
      <c r="H21" s="239"/>
      <c r="I21" s="4"/>
      <c r="J21" s="19" t="s">
        <v>16</v>
      </c>
      <c r="K21" s="21"/>
    </row>
    <row r="22" spans="1:11" ht="15" thickTop="1" thickBot="1" x14ac:dyDescent="0.3">
      <c r="A22" s="23" t="s">
        <v>26</v>
      </c>
      <c r="B22" s="6">
        <v>37.799999999999997</v>
      </c>
      <c r="C22" s="4"/>
      <c r="D22" s="20" t="s">
        <v>11</v>
      </c>
      <c r="E22" s="48" t="s">
        <v>10</v>
      </c>
      <c r="G22" s="23" t="s">
        <v>26</v>
      </c>
      <c r="H22" s="6">
        <v>40.137999999999998</v>
      </c>
      <c r="I22" s="4"/>
      <c r="J22" s="20" t="s">
        <v>11</v>
      </c>
      <c r="K22" s="48" t="s">
        <v>10</v>
      </c>
    </row>
    <row r="23" spans="1:11" ht="15" thickTop="1" thickBot="1" x14ac:dyDescent="0.3">
      <c r="A23" s="23" t="s">
        <v>27</v>
      </c>
      <c r="B23" s="6">
        <v>48</v>
      </c>
      <c r="C23" s="4"/>
      <c r="D23" s="24">
        <v>1500</v>
      </c>
      <c r="E23" s="25">
        <f>B29</f>
        <v>35</v>
      </c>
      <c r="G23" s="23" t="s">
        <v>27</v>
      </c>
      <c r="H23" s="6">
        <v>48</v>
      </c>
      <c r="I23" s="4"/>
      <c r="J23" s="24">
        <v>1500</v>
      </c>
      <c r="K23" s="25">
        <f>H31</f>
        <v>31</v>
      </c>
    </row>
    <row r="24" spans="1:11" ht="15" thickTop="1" thickBot="1" x14ac:dyDescent="0.3">
      <c r="A24" s="23" t="s">
        <v>28</v>
      </c>
      <c r="B24" s="6">
        <v>37</v>
      </c>
      <c r="C24" s="4"/>
      <c r="D24" s="24">
        <v>1960</v>
      </c>
      <c r="E24" s="26">
        <f>B29</f>
        <v>35</v>
      </c>
      <c r="G24" s="23" t="s">
        <v>28</v>
      </c>
      <c r="H24" s="6">
        <v>37</v>
      </c>
      <c r="I24" s="4"/>
      <c r="J24" s="24">
        <v>1950</v>
      </c>
      <c r="K24" s="26">
        <f>H31</f>
        <v>31</v>
      </c>
    </row>
    <row r="25" spans="1:11" ht="15" thickTop="1" thickBot="1" x14ac:dyDescent="0.3">
      <c r="A25" s="23" t="s">
        <v>29</v>
      </c>
      <c r="B25" s="6">
        <v>73</v>
      </c>
      <c r="C25" s="4"/>
      <c r="D25" s="27">
        <f>B32</f>
        <v>2550</v>
      </c>
      <c r="E25" s="28">
        <v>39.6</v>
      </c>
      <c r="G25" s="23" t="s">
        <v>298</v>
      </c>
      <c r="H25" s="6">
        <v>72</v>
      </c>
      <c r="I25" s="4"/>
      <c r="J25" s="27">
        <f>H35</f>
        <v>3800</v>
      </c>
      <c r="K25" s="28">
        <v>39.6</v>
      </c>
    </row>
    <row r="26" spans="1:11" ht="15" thickTop="1" thickBot="1" x14ac:dyDescent="0.3">
      <c r="A26" s="23" t="s">
        <v>30</v>
      </c>
      <c r="B26" s="6">
        <v>95</v>
      </c>
      <c r="C26" s="4"/>
      <c r="D26" s="3">
        <f>B32</f>
        <v>2550</v>
      </c>
      <c r="E26" s="29">
        <f>B28</f>
        <v>47.3</v>
      </c>
      <c r="G26" s="23" t="s">
        <v>299</v>
      </c>
      <c r="H26" s="6">
        <v>105</v>
      </c>
      <c r="I26" s="4"/>
      <c r="J26" s="3">
        <f>H35</f>
        <v>3800</v>
      </c>
      <c r="K26" s="29">
        <f>H30</f>
        <v>50.5</v>
      </c>
    </row>
    <row r="27" spans="1:11" ht="15" thickTop="1" thickBot="1" x14ac:dyDescent="0.3">
      <c r="A27" s="23" t="s">
        <v>31</v>
      </c>
      <c r="B27" s="6">
        <v>123</v>
      </c>
      <c r="C27" s="4"/>
      <c r="D27" s="24">
        <v>1500</v>
      </c>
      <c r="E27" s="25">
        <f>B28</f>
        <v>47.3</v>
      </c>
      <c r="G27" s="23" t="s">
        <v>300</v>
      </c>
      <c r="H27" s="6">
        <v>130</v>
      </c>
      <c r="I27" s="4"/>
      <c r="J27" s="24">
        <v>1500</v>
      </c>
      <c r="K27" s="25">
        <f>H30</f>
        <v>50.5</v>
      </c>
    </row>
    <row r="28" spans="1:11" ht="15" thickTop="1" thickBot="1" x14ac:dyDescent="0.3">
      <c r="A28" s="23" t="s">
        <v>33</v>
      </c>
      <c r="B28" s="6">
        <v>47.3</v>
      </c>
      <c r="C28" s="4"/>
      <c r="D28" s="1"/>
      <c r="E28" s="30"/>
      <c r="G28" s="23" t="s">
        <v>30</v>
      </c>
      <c r="H28" s="6">
        <v>-10</v>
      </c>
      <c r="I28" s="4"/>
      <c r="J28" s="1"/>
      <c r="K28" s="229"/>
    </row>
    <row r="29" spans="1:11" ht="15" thickTop="1" thickBot="1" x14ac:dyDescent="0.3">
      <c r="A29" s="23" t="s">
        <v>32</v>
      </c>
      <c r="B29" s="6">
        <v>35</v>
      </c>
      <c r="C29" s="4"/>
      <c r="D29" s="19" t="s">
        <v>17</v>
      </c>
      <c r="E29" s="21"/>
      <c r="G29" s="23" t="s">
        <v>31</v>
      </c>
      <c r="H29" s="6">
        <v>152</v>
      </c>
      <c r="I29" s="4"/>
      <c r="J29" s="1"/>
      <c r="K29" s="229"/>
    </row>
    <row r="30" spans="1:11" ht="15" thickTop="1" thickBot="1" x14ac:dyDescent="0.3">
      <c r="A30" s="31"/>
      <c r="B30" s="4"/>
      <c r="C30" s="4"/>
      <c r="D30" s="20" t="s">
        <v>11</v>
      </c>
      <c r="E30" s="22" t="s">
        <v>10</v>
      </c>
      <c r="G30" s="23" t="s">
        <v>33</v>
      </c>
      <c r="H30" s="6">
        <v>50.5</v>
      </c>
      <c r="I30" s="4"/>
      <c r="J30" s="1"/>
      <c r="K30" s="30"/>
    </row>
    <row r="31" spans="1:11" ht="15" thickTop="1" thickBot="1" x14ac:dyDescent="0.3">
      <c r="A31" s="238" t="s">
        <v>35</v>
      </c>
      <c r="B31" s="239"/>
      <c r="C31" s="4"/>
      <c r="D31" s="6">
        <v>2100</v>
      </c>
      <c r="E31" s="32">
        <v>36.5</v>
      </c>
      <c r="G31" s="23" t="s">
        <v>32</v>
      </c>
      <c r="H31" s="6">
        <v>31</v>
      </c>
      <c r="I31" s="4"/>
      <c r="J31" s="19" t="s">
        <v>17</v>
      </c>
      <c r="K31" s="21"/>
    </row>
    <row r="32" spans="1:11" ht="15" thickTop="1" thickBot="1" x14ac:dyDescent="0.3">
      <c r="A32" s="23" t="s">
        <v>34</v>
      </c>
      <c r="B32" s="6">
        <v>2550</v>
      </c>
      <c r="C32" s="4"/>
      <c r="D32" s="6">
        <v>2100</v>
      </c>
      <c r="E32" s="32">
        <v>40.5</v>
      </c>
      <c r="G32" s="31"/>
      <c r="H32" s="4"/>
      <c r="I32" s="4"/>
      <c r="J32" s="224"/>
      <c r="K32" s="225"/>
    </row>
    <row r="33" spans="1:11" ht="15" thickTop="1" thickBot="1" x14ac:dyDescent="0.3">
      <c r="A33" s="23" t="s">
        <v>25</v>
      </c>
      <c r="B33" s="6">
        <v>1702.8</v>
      </c>
      <c r="C33" s="4"/>
      <c r="D33" s="6">
        <v>1500</v>
      </c>
      <c r="E33" s="32">
        <v>40.5</v>
      </c>
      <c r="G33" s="31"/>
      <c r="H33" s="4"/>
      <c r="I33" s="4"/>
      <c r="J33" s="20" t="s">
        <v>11</v>
      </c>
      <c r="K33" s="22" t="s">
        <v>10</v>
      </c>
    </row>
    <row r="34" spans="1:11" ht="15" thickTop="1" thickBot="1" x14ac:dyDescent="0.3">
      <c r="A34" s="23" t="s">
        <v>85</v>
      </c>
      <c r="B34" s="6">
        <v>200</v>
      </c>
      <c r="C34" s="4"/>
      <c r="D34" s="4"/>
      <c r="E34" s="30"/>
      <c r="G34" s="238" t="s">
        <v>35</v>
      </c>
      <c r="H34" s="239"/>
      <c r="I34" s="4"/>
      <c r="J34" s="6">
        <v>2000</v>
      </c>
      <c r="K34" s="32">
        <v>35.5</v>
      </c>
    </row>
    <row r="35" spans="1:11" ht="15" thickTop="1" thickBot="1" x14ac:dyDescent="0.3">
      <c r="A35" s="23" t="s">
        <v>52</v>
      </c>
      <c r="B35" s="6">
        <v>200</v>
      </c>
      <c r="C35" s="4"/>
      <c r="D35" s="4"/>
      <c r="E35" s="30"/>
      <c r="G35" s="23" t="s">
        <v>34</v>
      </c>
      <c r="H35" s="6">
        <v>3800</v>
      </c>
      <c r="I35" s="4"/>
      <c r="J35" s="6">
        <v>2000</v>
      </c>
      <c r="K35" s="32">
        <v>40.5</v>
      </c>
    </row>
    <row r="36" spans="1:11" ht="15" thickTop="1" thickBot="1" x14ac:dyDescent="0.3">
      <c r="A36" s="23" t="s">
        <v>53</v>
      </c>
      <c r="B36" s="6">
        <v>50</v>
      </c>
      <c r="C36" s="4"/>
      <c r="D36" s="6"/>
      <c r="E36" s="30"/>
      <c r="G36" s="23" t="s">
        <v>25</v>
      </c>
      <c r="H36" s="6">
        <v>2407</v>
      </c>
      <c r="I36" s="4"/>
      <c r="J36" s="6">
        <v>1500</v>
      </c>
      <c r="K36" s="32">
        <v>40.5</v>
      </c>
    </row>
    <row r="37" spans="1:11" ht="15" thickTop="1" thickBot="1" x14ac:dyDescent="0.3">
      <c r="A37" s="33" t="s">
        <v>36</v>
      </c>
      <c r="B37" s="34">
        <v>66</v>
      </c>
      <c r="C37" s="35"/>
      <c r="D37" s="35"/>
      <c r="E37" s="36"/>
      <c r="G37" s="23" t="s">
        <v>85</v>
      </c>
      <c r="H37" s="6">
        <v>120</v>
      </c>
      <c r="I37" s="4"/>
      <c r="J37" s="4"/>
      <c r="K37" s="30"/>
    </row>
    <row r="38" spans="1:11" ht="15.75" customHeight="1" thickTop="1" thickBot="1" x14ac:dyDescent="0.3">
      <c r="G38" s="23" t="s">
        <v>52</v>
      </c>
      <c r="H38" s="6">
        <v>120</v>
      </c>
      <c r="I38" s="4"/>
      <c r="J38" s="4"/>
      <c r="K38" s="30"/>
    </row>
    <row r="39" spans="1:11" ht="15" thickTop="1" thickBot="1" x14ac:dyDescent="0.3">
      <c r="A39" s="240" t="s">
        <v>59</v>
      </c>
      <c r="B39" s="241"/>
      <c r="C39" s="241"/>
      <c r="D39" s="241"/>
      <c r="E39" s="242"/>
      <c r="G39" s="23" t="s">
        <v>53</v>
      </c>
      <c r="H39" s="6">
        <v>180</v>
      </c>
      <c r="I39" s="4"/>
      <c r="J39" s="4"/>
      <c r="K39" s="30"/>
    </row>
    <row r="40" spans="1:11" ht="15" thickTop="1" thickBot="1" x14ac:dyDescent="0.3">
      <c r="A40" s="238" t="s">
        <v>22</v>
      </c>
      <c r="B40" s="239"/>
      <c r="C40" s="4"/>
      <c r="D40" s="19" t="s">
        <v>16</v>
      </c>
      <c r="E40" s="21"/>
      <c r="G40" s="33" t="s">
        <v>36</v>
      </c>
      <c r="H40" s="34">
        <v>73</v>
      </c>
      <c r="I40" s="35"/>
      <c r="J40" s="35"/>
      <c r="K40" s="36"/>
    </row>
    <row r="41" spans="1:11" ht="15" thickTop="1" thickBot="1" x14ac:dyDescent="0.3">
      <c r="A41" s="23" t="s">
        <v>26</v>
      </c>
      <c r="B41" s="6">
        <v>39.270000000000003</v>
      </c>
      <c r="C41" s="4"/>
      <c r="D41" s="20" t="s">
        <v>11</v>
      </c>
      <c r="E41" s="48" t="s">
        <v>10</v>
      </c>
    </row>
    <row r="42" spans="1:11" ht="15" thickTop="1" thickBot="1" x14ac:dyDescent="0.3">
      <c r="A42" s="23" t="s">
        <v>27</v>
      </c>
      <c r="B42" s="6">
        <v>48</v>
      </c>
      <c r="C42" s="4"/>
      <c r="D42" s="24">
        <v>1500</v>
      </c>
      <c r="E42" s="25">
        <f>B48</f>
        <v>35</v>
      </c>
      <c r="G42" s="226" t="s">
        <v>61</v>
      </c>
      <c r="H42" s="227"/>
      <c r="I42" s="227"/>
      <c r="J42" s="227"/>
      <c r="K42" s="228"/>
    </row>
    <row r="43" spans="1:11" ht="15" thickTop="1" thickBot="1" x14ac:dyDescent="0.3">
      <c r="A43" s="23" t="s">
        <v>28</v>
      </c>
      <c r="B43" s="6">
        <v>37</v>
      </c>
      <c r="C43" s="4"/>
      <c r="D43" s="24">
        <v>1960</v>
      </c>
      <c r="E43" s="26">
        <f>B48</f>
        <v>35</v>
      </c>
      <c r="G43" s="221" t="s">
        <v>90</v>
      </c>
      <c r="H43" s="222"/>
      <c r="I43" s="222"/>
      <c r="J43" s="222"/>
      <c r="K43" s="223"/>
    </row>
    <row r="44" spans="1:11" ht="15" thickTop="1" thickBot="1" x14ac:dyDescent="0.3">
      <c r="A44" s="23" t="s">
        <v>29</v>
      </c>
      <c r="B44" s="6">
        <v>73</v>
      </c>
      <c r="C44" s="4"/>
      <c r="D44" s="27">
        <f>B51</f>
        <v>2550</v>
      </c>
      <c r="E44" s="28">
        <v>39.6</v>
      </c>
      <c r="G44" s="236" t="s">
        <v>82</v>
      </c>
      <c r="H44" s="237"/>
      <c r="I44" s="4"/>
      <c r="J44" s="58" t="s">
        <v>16</v>
      </c>
      <c r="K44" s="59"/>
    </row>
    <row r="45" spans="1:11" ht="15" thickTop="1" thickBot="1" x14ac:dyDescent="0.3">
      <c r="A45" s="23" t="s">
        <v>30</v>
      </c>
      <c r="B45" s="6">
        <v>95</v>
      </c>
      <c r="C45" s="4"/>
      <c r="D45" s="3">
        <f>B51</f>
        <v>2550</v>
      </c>
      <c r="E45" s="29">
        <f>B47</f>
        <v>47.3</v>
      </c>
      <c r="G45" s="23" t="s">
        <v>26</v>
      </c>
      <c r="H45" s="6">
        <v>39.6</v>
      </c>
      <c r="I45" s="4"/>
      <c r="J45" s="20" t="s">
        <v>11</v>
      </c>
      <c r="K45" s="48" t="s">
        <v>10</v>
      </c>
    </row>
    <row r="46" spans="1:11" ht="15" thickTop="1" thickBot="1" x14ac:dyDescent="0.3">
      <c r="A46" s="23" t="s">
        <v>31</v>
      </c>
      <c r="B46" s="6">
        <v>123</v>
      </c>
      <c r="C46" s="4"/>
      <c r="D46" s="24">
        <v>1500</v>
      </c>
      <c r="E46" s="25">
        <f>B47</f>
        <v>47.3</v>
      </c>
      <c r="G46" s="23" t="s">
        <v>27</v>
      </c>
      <c r="H46" s="6">
        <v>46</v>
      </c>
      <c r="I46" s="4"/>
      <c r="J46" s="24">
        <v>1500</v>
      </c>
      <c r="K46" s="25">
        <f>H52</f>
        <v>35</v>
      </c>
    </row>
    <row r="47" spans="1:11" ht="15" thickTop="1" thickBot="1" x14ac:dyDescent="0.3">
      <c r="A47" s="23" t="s">
        <v>33</v>
      </c>
      <c r="B47" s="6">
        <v>47.3</v>
      </c>
      <c r="C47" s="4"/>
      <c r="D47" s="1"/>
      <c r="E47" s="30"/>
      <c r="G47" s="23" t="s">
        <v>28</v>
      </c>
      <c r="H47" s="6">
        <v>37</v>
      </c>
      <c r="I47" s="4"/>
      <c r="J47" s="24">
        <v>1950</v>
      </c>
      <c r="K47" s="26">
        <f>H52</f>
        <v>35</v>
      </c>
    </row>
    <row r="48" spans="1:11" ht="15" thickTop="1" thickBot="1" x14ac:dyDescent="0.3">
      <c r="A48" s="23" t="s">
        <v>32</v>
      </c>
      <c r="B48" s="6">
        <v>35</v>
      </c>
      <c r="C48" s="4"/>
      <c r="D48" s="19" t="s">
        <v>17</v>
      </c>
      <c r="E48" s="21"/>
      <c r="G48" s="23" t="s">
        <v>29</v>
      </c>
      <c r="H48" s="6">
        <v>73</v>
      </c>
      <c r="I48" s="4"/>
      <c r="J48" s="27">
        <f>H55</f>
        <v>2300</v>
      </c>
      <c r="K48" s="28">
        <v>39.6</v>
      </c>
    </row>
    <row r="49" spans="1:11" ht="15" thickTop="1" thickBot="1" x14ac:dyDescent="0.3">
      <c r="A49" s="31"/>
      <c r="B49" s="4"/>
      <c r="C49" s="4"/>
      <c r="D49" s="20" t="s">
        <v>11</v>
      </c>
      <c r="E49" s="22" t="s">
        <v>10</v>
      </c>
      <c r="G49" s="23" t="s">
        <v>30</v>
      </c>
      <c r="H49" s="6">
        <v>95</v>
      </c>
      <c r="I49" s="4"/>
      <c r="J49" s="3">
        <f>H55</f>
        <v>2300</v>
      </c>
      <c r="K49" s="29">
        <f>H51</f>
        <v>47.3</v>
      </c>
    </row>
    <row r="50" spans="1:11" ht="15" thickTop="1" thickBot="1" x14ac:dyDescent="0.3">
      <c r="A50" s="238" t="s">
        <v>35</v>
      </c>
      <c r="B50" s="239"/>
      <c r="C50" s="4"/>
      <c r="D50" s="6">
        <v>2200</v>
      </c>
      <c r="E50" s="32">
        <v>37.299999999999997</v>
      </c>
      <c r="G50" s="23" t="s">
        <v>31</v>
      </c>
      <c r="H50" s="6">
        <v>123</v>
      </c>
      <c r="I50" s="4"/>
      <c r="J50" s="24">
        <v>1500</v>
      </c>
      <c r="K50" s="25">
        <f>H51</f>
        <v>47.3</v>
      </c>
    </row>
    <row r="51" spans="1:11" ht="15" thickTop="1" thickBot="1" x14ac:dyDescent="0.3">
      <c r="A51" s="23" t="s">
        <v>34</v>
      </c>
      <c r="B51" s="6">
        <v>2550</v>
      </c>
      <c r="C51" s="4"/>
      <c r="D51" s="6">
        <v>2200</v>
      </c>
      <c r="E51" s="32">
        <v>40.5</v>
      </c>
      <c r="G51" s="23" t="s">
        <v>33</v>
      </c>
      <c r="H51" s="6">
        <v>47.3</v>
      </c>
      <c r="I51" s="4"/>
      <c r="J51" s="1"/>
      <c r="K51" s="30"/>
    </row>
    <row r="52" spans="1:11" ht="15" thickTop="1" thickBot="1" x14ac:dyDescent="0.3">
      <c r="A52" s="23" t="s">
        <v>25</v>
      </c>
      <c r="B52" s="6">
        <v>1670</v>
      </c>
      <c r="C52" s="4"/>
      <c r="D52" s="6">
        <v>1500</v>
      </c>
      <c r="E52" s="32">
        <v>40.5</v>
      </c>
      <c r="G52" s="23" t="s">
        <v>32</v>
      </c>
      <c r="H52" s="6">
        <v>35</v>
      </c>
      <c r="I52" s="4"/>
      <c r="J52" s="19" t="s">
        <v>17</v>
      </c>
      <c r="K52" s="21"/>
    </row>
    <row r="53" spans="1:11" ht="15" thickTop="1" thickBot="1" x14ac:dyDescent="0.3">
      <c r="A53" s="23" t="s">
        <v>85</v>
      </c>
      <c r="B53" s="6">
        <v>120</v>
      </c>
      <c r="C53" s="4"/>
      <c r="D53" s="4"/>
      <c r="E53" s="30"/>
      <c r="G53" s="31"/>
      <c r="H53" s="4"/>
      <c r="I53" s="4"/>
      <c r="J53" s="20" t="s">
        <v>11</v>
      </c>
      <c r="K53" s="22" t="s">
        <v>10</v>
      </c>
    </row>
    <row r="54" spans="1:11" ht="15" thickTop="1" thickBot="1" x14ac:dyDescent="0.3">
      <c r="A54" s="23" t="s">
        <v>52</v>
      </c>
      <c r="B54" s="6">
        <v>120</v>
      </c>
      <c r="C54" s="4"/>
      <c r="D54" s="4"/>
      <c r="E54" s="30"/>
      <c r="G54" s="238" t="s">
        <v>35</v>
      </c>
      <c r="H54" s="239"/>
      <c r="I54" s="4"/>
      <c r="J54" s="6">
        <v>2000</v>
      </c>
      <c r="K54" s="32">
        <v>35.5</v>
      </c>
    </row>
    <row r="55" spans="1:11" ht="15" thickTop="1" thickBot="1" x14ac:dyDescent="0.3">
      <c r="A55" s="23" t="s">
        <v>53</v>
      </c>
      <c r="B55" s="6">
        <v>50</v>
      </c>
      <c r="C55" s="4"/>
      <c r="D55" s="4"/>
      <c r="E55" s="30"/>
      <c r="G55" s="23" t="s">
        <v>34</v>
      </c>
      <c r="H55" s="6">
        <v>2300</v>
      </c>
      <c r="I55" s="4"/>
      <c r="J55" s="6">
        <v>2000</v>
      </c>
      <c r="K55" s="32">
        <v>40.5</v>
      </c>
    </row>
    <row r="56" spans="1:11" ht="15" thickTop="1" thickBot="1" x14ac:dyDescent="0.3">
      <c r="A56" s="33" t="s">
        <v>36</v>
      </c>
      <c r="B56" s="34">
        <v>50</v>
      </c>
      <c r="C56" s="35"/>
      <c r="D56" s="35"/>
      <c r="E56" s="36"/>
      <c r="G56" s="23" t="s">
        <v>25</v>
      </c>
      <c r="H56" s="6">
        <v>1497</v>
      </c>
      <c r="I56" s="4"/>
      <c r="J56" s="6">
        <v>1500</v>
      </c>
      <c r="K56" s="32">
        <v>40.5</v>
      </c>
    </row>
    <row r="57" spans="1:11" ht="15" thickTop="1" thickBot="1" x14ac:dyDescent="0.3">
      <c r="G57" s="23" t="s">
        <v>85</v>
      </c>
      <c r="H57" s="6">
        <v>120</v>
      </c>
      <c r="I57" s="4"/>
      <c r="J57" s="4"/>
      <c r="K57" s="30"/>
    </row>
    <row r="58" spans="1:11" ht="15" thickTop="1" thickBot="1" x14ac:dyDescent="0.3">
      <c r="A58" s="240" t="s">
        <v>61</v>
      </c>
      <c r="B58" s="241"/>
      <c r="C58" s="241"/>
      <c r="D58" s="241"/>
      <c r="E58" s="242"/>
      <c r="G58" s="23" t="s">
        <v>52</v>
      </c>
      <c r="H58" s="6">
        <v>120</v>
      </c>
      <c r="I58" s="4"/>
      <c r="J58" s="4"/>
      <c r="K58" s="30"/>
    </row>
    <row r="59" spans="1:11" ht="15" thickTop="1" thickBot="1" x14ac:dyDescent="0.3">
      <c r="A59" s="233" t="s">
        <v>304</v>
      </c>
      <c r="B59" s="234"/>
      <c r="C59" s="234"/>
      <c r="D59" s="234"/>
      <c r="E59" s="235"/>
      <c r="G59" s="23" t="s">
        <v>53</v>
      </c>
      <c r="H59" s="6">
        <v>50</v>
      </c>
      <c r="I59" s="4"/>
      <c r="J59" s="4"/>
      <c r="K59" s="30"/>
    </row>
    <row r="60" spans="1:11" ht="15" thickTop="1" thickBot="1" x14ac:dyDescent="0.3">
      <c r="A60" s="236" t="s">
        <v>22</v>
      </c>
      <c r="B60" s="237"/>
      <c r="C60" s="4"/>
      <c r="D60" s="58" t="s">
        <v>16</v>
      </c>
      <c r="E60" s="59"/>
      <c r="G60" s="33" t="s">
        <v>36</v>
      </c>
      <c r="H60" s="34">
        <v>40</v>
      </c>
      <c r="I60" s="35"/>
      <c r="J60" s="35"/>
      <c r="K60" s="36"/>
    </row>
    <row r="61" spans="1:11" ht="15" thickTop="1" thickBot="1" x14ac:dyDescent="0.3">
      <c r="A61" s="23" t="s">
        <v>26</v>
      </c>
      <c r="B61" s="6">
        <v>38.5</v>
      </c>
      <c r="C61" s="4"/>
      <c r="D61" s="20" t="s">
        <v>11</v>
      </c>
      <c r="E61" s="48" t="s">
        <v>10</v>
      </c>
    </row>
    <row r="62" spans="1:11" ht="15" thickTop="1" thickBot="1" x14ac:dyDescent="0.3">
      <c r="A62" s="23" t="s">
        <v>27</v>
      </c>
      <c r="B62" s="6">
        <v>48</v>
      </c>
      <c r="C62" s="4"/>
      <c r="D62" s="24">
        <v>1500</v>
      </c>
      <c r="E62" s="25">
        <f>B68</f>
        <v>35</v>
      </c>
      <c r="G62" s="226" t="s">
        <v>61</v>
      </c>
      <c r="H62" s="227"/>
      <c r="I62" s="227"/>
      <c r="J62" s="227"/>
      <c r="K62" s="228"/>
    </row>
    <row r="63" spans="1:11" ht="15" thickTop="1" thickBot="1" x14ac:dyDescent="0.3">
      <c r="A63" s="23" t="s">
        <v>28</v>
      </c>
      <c r="B63" s="6">
        <v>37</v>
      </c>
      <c r="C63" s="4"/>
      <c r="D63" s="24">
        <v>1960</v>
      </c>
      <c r="E63" s="26">
        <f>B68</f>
        <v>35</v>
      </c>
      <c r="G63" s="221" t="s">
        <v>306</v>
      </c>
      <c r="H63" s="222"/>
      <c r="I63" s="222"/>
      <c r="J63" s="222"/>
      <c r="K63" s="223"/>
    </row>
    <row r="64" spans="1:11" ht="15" thickTop="1" thickBot="1" x14ac:dyDescent="0.3">
      <c r="A64" s="23" t="s">
        <v>29</v>
      </c>
      <c r="B64" s="6">
        <v>73</v>
      </c>
      <c r="C64" s="4"/>
      <c r="D64" s="27">
        <f>B71</f>
        <v>2550</v>
      </c>
      <c r="E64" s="28">
        <v>39.6</v>
      </c>
      <c r="G64" s="236" t="s">
        <v>22</v>
      </c>
      <c r="H64" s="237"/>
      <c r="I64" s="4"/>
      <c r="J64" s="58" t="s">
        <v>16</v>
      </c>
      <c r="K64" s="59"/>
    </row>
    <row r="65" spans="1:11" ht="15" thickTop="1" thickBot="1" x14ac:dyDescent="0.3">
      <c r="A65" s="23" t="s">
        <v>30</v>
      </c>
      <c r="B65" s="6">
        <v>95</v>
      </c>
      <c r="C65" s="4"/>
      <c r="D65" s="3">
        <f>B71</f>
        <v>2550</v>
      </c>
      <c r="E65" s="29">
        <f>B67</f>
        <v>47.3</v>
      </c>
      <c r="G65" s="23" t="s">
        <v>26</v>
      </c>
      <c r="H65" s="6">
        <v>39.6</v>
      </c>
      <c r="I65" s="4"/>
      <c r="J65" s="20" t="s">
        <v>11</v>
      </c>
      <c r="K65" s="48" t="s">
        <v>10</v>
      </c>
    </row>
    <row r="66" spans="1:11" ht="15" thickTop="1" thickBot="1" x14ac:dyDescent="0.3">
      <c r="A66" s="23" t="s">
        <v>31</v>
      </c>
      <c r="B66" s="6">
        <v>123</v>
      </c>
      <c r="C66" s="4"/>
      <c r="D66" s="24">
        <v>1500</v>
      </c>
      <c r="E66" s="25">
        <f>B67</f>
        <v>47.3</v>
      </c>
      <c r="G66" s="23" t="s">
        <v>27</v>
      </c>
      <c r="H66" s="6">
        <v>46</v>
      </c>
      <c r="I66" s="4"/>
      <c r="J66" s="24">
        <v>1500</v>
      </c>
      <c r="K66" s="25">
        <f>H72</f>
        <v>35</v>
      </c>
    </row>
    <row r="67" spans="1:11" ht="15" thickTop="1" thickBot="1" x14ac:dyDescent="0.3">
      <c r="A67" s="23" t="s">
        <v>33</v>
      </c>
      <c r="B67" s="6">
        <v>47.3</v>
      </c>
      <c r="C67" s="4"/>
      <c r="D67" s="1"/>
      <c r="E67" s="30"/>
      <c r="G67" s="23" t="s">
        <v>28</v>
      </c>
      <c r="H67" s="6">
        <v>37</v>
      </c>
      <c r="I67" s="4"/>
      <c r="J67" s="24">
        <v>1950</v>
      </c>
      <c r="K67" s="26">
        <f>H72</f>
        <v>35</v>
      </c>
    </row>
    <row r="68" spans="1:11" ht="15" thickTop="1" thickBot="1" x14ac:dyDescent="0.3">
      <c r="A68" s="23" t="s">
        <v>32</v>
      </c>
      <c r="B68" s="6">
        <v>35</v>
      </c>
      <c r="C68" s="4"/>
      <c r="D68" s="19" t="s">
        <v>17</v>
      </c>
      <c r="E68" s="21"/>
      <c r="G68" s="23" t="s">
        <v>29</v>
      </c>
      <c r="H68" s="6">
        <v>73</v>
      </c>
      <c r="I68" s="4"/>
      <c r="J68" s="27">
        <f>H75</f>
        <v>2300</v>
      </c>
      <c r="K68" s="28">
        <v>39.6</v>
      </c>
    </row>
    <row r="69" spans="1:11" ht="15" thickTop="1" thickBot="1" x14ac:dyDescent="0.3">
      <c r="A69" s="31"/>
      <c r="B69" s="4"/>
      <c r="C69" s="4"/>
      <c r="D69" s="20" t="s">
        <v>11</v>
      </c>
      <c r="E69" s="22" t="s">
        <v>10</v>
      </c>
      <c r="G69" s="23" t="s">
        <v>30</v>
      </c>
      <c r="H69" s="6">
        <v>95</v>
      </c>
      <c r="I69" s="4"/>
      <c r="J69" s="3">
        <f>H75</f>
        <v>2300</v>
      </c>
      <c r="K69" s="29">
        <f>H71</f>
        <v>47.3</v>
      </c>
    </row>
    <row r="70" spans="1:11" ht="15" thickTop="1" thickBot="1" x14ac:dyDescent="0.3">
      <c r="A70" s="238" t="s">
        <v>35</v>
      </c>
      <c r="B70" s="239"/>
      <c r="C70" s="4"/>
      <c r="D70" s="6">
        <v>2100</v>
      </c>
      <c r="E70" s="32">
        <v>36.5</v>
      </c>
      <c r="G70" s="23" t="s">
        <v>31</v>
      </c>
      <c r="H70" s="6">
        <v>123</v>
      </c>
      <c r="I70" s="4"/>
      <c r="J70" s="24">
        <v>1500</v>
      </c>
      <c r="K70" s="25">
        <f>H71</f>
        <v>47.3</v>
      </c>
    </row>
    <row r="71" spans="1:11" ht="15" thickTop="1" thickBot="1" x14ac:dyDescent="0.3">
      <c r="A71" s="23" t="s">
        <v>34</v>
      </c>
      <c r="B71" s="6">
        <v>2550</v>
      </c>
      <c r="C71" s="4"/>
      <c r="D71" s="6">
        <v>2100</v>
      </c>
      <c r="E71" s="32">
        <v>40.5</v>
      </c>
      <c r="G71" s="23" t="s">
        <v>33</v>
      </c>
      <c r="H71" s="6">
        <v>47.3</v>
      </c>
      <c r="I71" s="4"/>
      <c r="J71" s="1"/>
      <c r="K71" s="30"/>
    </row>
    <row r="72" spans="1:11" ht="15" thickTop="1" thickBot="1" x14ac:dyDescent="0.3">
      <c r="A72" s="23" t="s">
        <v>25</v>
      </c>
      <c r="B72" s="6">
        <v>1500</v>
      </c>
      <c r="C72" s="4"/>
      <c r="D72" s="6">
        <v>1500</v>
      </c>
      <c r="E72" s="32">
        <v>40.5</v>
      </c>
      <c r="G72" s="23" t="s">
        <v>32</v>
      </c>
      <c r="H72" s="6">
        <v>35</v>
      </c>
      <c r="I72" s="4"/>
      <c r="J72" s="19" t="s">
        <v>17</v>
      </c>
      <c r="K72" s="21"/>
    </row>
    <row r="73" spans="1:11" ht="15" thickTop="1" thickBot="1" x14ac:dyDescent="0.3">
      <c r="A73" s="23" t="s">
        <v>85</v>
      </c>
      <c r="B73" s="6">
        <v>120</v>
      </c>
      <c r="C73" s="4"/>
      <c r="D73" s="4"/>
      <c r="E73" s="30"/>
      <c r="G73" s="31"/>
      <c r="H73" s="4"/>
      <c r="I73" s="4"/>
      <c r="J73" s="20" t="s">
        <v>11</v>
      </c>
      <c r="K73" s="22" t="s">
        <v>10</v>
      </c>
    </row>
    <row r="74" spans="1:11" ht="15" thickTop="1" thickBot="1" x14ac:dyDescent="0.3">
      <c r="A74" s="23" t="s">
        <v>52</v>
      </c>
      <c r="B74" s="6">
        <v>120</v>
      </c>
      <c r="C74" s="4"/>
      <c r="D74" s="4"/>
      <c r="E74" s="30"/>
      <c r="G74" s="238" t="s">
        <v>35</v>
      </c>
      <c r="H74" s="239"/>
      <c r="I74" s="4"/>
      <c r="J74" s="6">
        <v>2000</v>
      </c>
      <c r="K74" s="32">
        <v>36.5</v>
      </c>
    </row>
    <row r="75" spans="1:11" ht="15" thickTop="1" thickBot="1" x14ac:dyDescent="0.3">
      <c r="A75" s="23" t="s">
        <v>53</v>
      </c>
      <c r="B75" s="6">
        <v>50</v>
      </c>
      <c r="C75" s="4"/>
      <c r="D75" s="4"/>
      <c r="E75" s="30"/>
      <c r="G75" s="23" t="s">
        <v>34</v>
      </c>
      <c r="H75" s="6">
        <v>2300</v>
      </c>
      <c r="I75" s="4"/>
      <c r="J75" s="6">
        <v>2000</v>
      </c>
      <c r="K75" s="32">
        <v>40.5</v>
      </c>
    </row>
    <row r="76" spans="1:11" ht="15" thickTop="1" thickBot="1" x14ac:dyDescent="0.3">
      <c r="A76" s="33" t="s">
        <v>36</v>
      </c>
      <c r="B76" s="34">
        <v>40</v>
      </c>
      <c r="C76" s="35"/>
      <c r="D76" s="35"/>
      <c r="E76" s="36"/>
      <c r="G76" s="23" t="s">
        <v>25</v>
      </c>
      <c r="H76" s="6">
        <v>1478</v>
      </c>
      <c r="I76" s="4"/>
      <c r="J76" s="6">
        <v>1500</v>
      </c>
      <c r="K76" s="32">
        <v>40.5</v>
      </c>
    </row>
    <row r="77" spans="1:11" ht="15" thickTop="1" thickBot="1" x14ac:dyDescent="0.3">
      <c r="G77" s="23" t="s">
        <v>85</v>
      </c>
      <c r="H77" s="6">
        <v>120</v>
      </c>
      <c r="I77" s="4"/>
      <c r="J77" s="4"/>
      <c r="K77" s="30"/>
    </row>
    <row r="78" spans="1:11" ht="15" thickTop="1" thickBot="1" x14ac:dyDescent="0.3">
      <c r="A78" s="240" t="s">
        <v>61</v>
      </c>
      <c r="B78" s="241"/>
      <c r="C78" s="241"/>
      <c r="D78" s="241"/>
      <c r="E78" s="242"/>
      <c r="G78" s="23" t="s">
        <v>52</v>
      </c>
      <c r="H78" s="6">
        <v>120</v>
      </c>
      <c r="I78" s="4"/>
      <c r="J78" s="4"/>
      <c r="K78" s="30"/>
    </row>
    <row r="79" spans="1:11" ht="15" thickTop="1" thickBot="1" x14ac:dyDescent="0.3">
      <c r="A79" s="233" t="s">
        <v>290</v>
      </c>
      <c r="B79" s="234"/>
      <c r="C79" s="234"/>
      <c r="D79" s="234"/>
      <c r="E79" s="235"/>
      <c r="G79" s="23" t="s">
        <v>53</v>
      </c>
      <c r="H79" s="6">
        <v>50</v>
      </c>
      <c r="I79" s="4"/>
      <c r="J79" s="4"/>
      <c r="K79" s="30"/>
    </row>
    <row r="80" spans="1:11" ht="15" thickTop="1" thickBot="1" x14ac:dyDescent="0.3">
      <c r="A80" s="236" t="s">
        <v>22</v>
      </c>
      <c r="B80" s="237"/>
      <c r="C80" s="4"/>
      <c r="D80" s="58" t="s">
        <v>16</v>
      </c>
      <c r="E80" s="59"/>
      <c r="G80" s="33" t="s">
        <v>36</v>
      </c>
      <c r="H80" s="34">
        <v>40</v>
      </c>
      <c r="I80" s="35"/>
      <c r="J80" s="35"/>
      <c r="K80" s="36"/>
    </row>
    <row r="81" spans="1:5" ht="15" thickTop="1" thickBot="1" x14ac:dyDescent="0.3">
      <c r="A81" s="23" t="s">
        <v>26</v>
      </c>
      <c r="B81" s="6">
        <v>39.1</v>
      </c>
      <c r="C81" s="4"/>
      <c r="D81" s="20" t="s">
        <v>11</v>
      </c>
      <c r="E81" s="48" t="s">
        <v>10</v>
      </c>
    </row>
    <row r="82" spans="1:5" ht="15" thickTop="1" thickBot="1" x14ac:dyDescent="0.3">
      <c r="A82" s="23" t="s">
        <v>27</v>
      </c>
      <c r="B82" s="6">
        <v>48</v>
      </c>
      <c r="C82" s="4"/>
      <c r="D82" s="24">
        <v>1500</v>
      </c>
      <c r="E82" s="25">
        <f>B88</f>
        <v>35</v>
      </c>
    </row>
    <row r="83" spans="1:5" ht="15" thickTop="1" thickBot="1" x14ac:dyDescent="0.3">
      <c r="A83" s="23" t="s">
        <v>28</v>
      </c>
      <c r="B83" s="6">
        <v>37</v>
      </c>
      <c r="C83" s="4"/>
      <c r="D83" s="24">
        <v>1960</v>
      </c>
      <c r="E83" s="26">
        <f>B88</f>
        <v>35</v>
      </c>
    </row>
    <row r="84" spans="1:5" ht="15" thickTop="1" thickBot="1" x14ac:dyDescent="0.3">
      <c r="A84" s="23" t="s">
        <v>29</v>
      </c>
      <c r="B84" s="6">
        <v>73</v>
      </c>
      <c r="C84" s="4"/>
      <c r="D84" s="27">
        <f>B91</f>
        <v>2400</v>
      </c>
      <c r="E84" s="28">
        <v>39.6</v>
      </c>
    </row>
    <row r="85" spans="1:5" ht="15" thickTop="1" thickBot="1" x14ac:dyDescent="0.3">
      <c r="A85" s="23" t="s">
        <v>30</v>
      </c>
      <c r="B85" s="6">
        <v>95</v>
      </c>
      <c r="C85" s="4"/>
      <c r="D85" s="3">
        <f>B91</f>
        <v>2400</v>
      </c>
      <c r="E85" s="29">
        <f>B87</f>
        <v>47.3</v>
      </c>
    </row>
    <row r="86" spans="1:5" ht="15" thickTop="1" thickBot="1" x14ac:dyDescent="0.3">
      <c r="A86" s="23" t="s">
        <v>31</v>
      </c>
      <c r="B86" s="6">
        <v>123</v>
      </c>
      <c r="C86" s="4"/>
      <c r="D86" s="24">
        <v>1500</v>
      </c>
      <c r="E86" s="25">
        <f>B87</f>
        <v>47.3</v>
      </c>
    </row>
    <row r="87" spans="1:5" ht="15" thickTop="1" thickBot="1" x14ac:dyDescent="0.3">
      <c r="A87" s="23" t="s">
        <v>33</v>
      </c>
      <c r="B87" s="6">
        <v>47.3</v>
      </c>
      <c r="C87" s="4"/>
      <c r="D87" s="1"/>
      <c r="E87" s="30"/>
    </row>
    <row r="88" spans="1:5" ht="15" thickTop="1" thickBot="1" x14ac:dyDescent="0.3">
      <c r="A88" s="23" t="s">
        <v>32</v>
      </c>
      <c r="B88" s="6">
        <v>35</v>
      </c>
      <c r="C88" s="4"/>
      <c r="D88" s="19" t="s">
        <v>17</v>
      </c>
      <c r="E88" s="21"/>
    </row>
    <row r="89" spans="1:5" ht="15" thickTop="1" thickBot="1" x14ac:dyDescent="0.3">
      <c r="A89" s="31"/>
      <c r="B89" s="4"/>
      <c r="C89" s="4"/>
      <c r="D89" s="20" t="s">
        <v>11</v>
      </c>
      <c r="E89" s="22" t="s">
        <v>10</v>
      </c>
    </row>
    <row r="90" spans="1:5" ht="15" thickTop="1" thickBot="1" x14ac:dyDescent="0.3">
      <c r="A90" s="238" t="s">
        <v>35</v>
      </c>
      <c r="B90" s="239"/>
      <c r="C90" s="4"/>
      <c r="D90" s="6">
        <v>2100</v>
      </c>
      <c r="E90" s="32">
        <v>36.5</v>
      </c>
    </row>
    <row r="91" spans="1:5" ht="15" thickTop="1" thickBot="1" x14ac:dyDescent="0.3">
      <c r="A91" s="23" t="s">
        <v>34</v>
      </c>
      <c r="B91" s="6">
        <v>2400</v>
      </c>
      <c r="C91" s="4"/>
      <c r="D91" s="6">
        <v>2100</v>
      </c>
      <c r="E91" s="32">
        <v>40.5</v>
      </c>
    </row>
    <row r="92" spans="1:5" ht="15" thickTop="1" thickBot="1" x14ac:dyDescent="0.3">
      <c r="A92" s="23" t="s">
        <v>25</v>
      </c>
      <c r="B92" s="6">
        <v>1635</v>
      </c>
      <c r="C92" s="4"/>
      <c r="D92" s="6">
        <v>1500</v>
      </c>
      <c r="E92" s="32">
        <v>40.5</v>
      </c>
    </row>
    <row r="93" spans="1:5" ht="15" thickTop="1" thickBot="1" x14ac:dyDescent="0.3">
      <c r="A93" s="23" t="s">
        <v>85</v>
      </c>
      <c r="B93" s="6">
        <v>120</v>
      </c>
      <c r="C93" s="4"/>
      <c r="D93" s="4"/>
      <c r="E93" s="30"/>
    </row>
    <row r="94" spans="1:5" ht="15" thickTop="1" thickBot="1" x14ac:dyDescent="0.3">
      <c r="A94" s="23" t="s">
        <v>52</v>
      </c>
      <c r="B94" s="6">
        <v>120</v>
      </c>
      <c r="C94" s="4"/>
      <c r="D94" s="4"/>
      <c r="E94" s="30"/>
    </row>
    <row r="95" spans="1:5" ht="15" thickTop="1" thickBot="1" x14ac:dyDescent="0.3">
      <c r="A95" s="23" t="s">
        <v>53</v>
      </c>
      <c r="B95" s="6">
        <v>50</v>
      </c>
      <c r="C95" s="4"/>
      <c r="D95" s="4"/>
      <c r="E95" s="30"/>
    </row>
    <row r="96" spans="1:5" ht="15" thickTop="1" thickBot="1" x14ac:dyDescent="0.3">
      <c r="A96" s="33" t="s">
        <v>36</v>
      </c>
      <c r="B96" s="34">
        <v>40</v>
      </c>
      <c r="C96" s="35"/>
      <c r="D96" s="35"/>
      <c r="E96" s="36"/>
    </row>
  </sheetData>
  <sheetProtection selectLockedCells="1" selectUnlockedCells="1"/>
  <mergeCells count="27">
    <mergeCell ref="A1:E1"/>
    <mergeCell ref="A70:B70"/>
    <mergeCell ref="G64:H64"/>
    <mergeCell ref="A78:E78"/>
    <mergeCell ref="G74:H74"/>
    <mergeCell ref="A39:E39"/>
    <mergeCell ref="A40:B40"/>
    <mergeCell ref="A50:B50"/>
    <mergeCell ref="G44:H44"/>
    <mergeCell ref="G54:H54"/>
    <mergeCell ref="A58:E58"/>
    <mergeCell ref="A79:E79"/>
    <mergeCell ref="A80:B80"/>
    <mergeCell ref="A90:B90"/>
    <mergeCell ref="G1:K1"/>
    <mergeCell ref="G2:H2"/>
    <mergeCell ref="G12:H12"/>
    <mergeCell ref="A59:E59"/>
    <mergeCell ref="A60:B60"/>
    <mergeCell ref="A20:E20"/>
    <mergeCell ref="A21:B21"/>
    <mergeCell ref="A31:B31"/>
    <mergeCell ref="G20:K20"/>
    <mergeCell ref="G21:H21"/>
    <mergeCell ref="G34:H34"/>
    <mergeCell ref="A12:B12"/>
    <mergeCell ref="A2:B2"/>
  </mergeCells>
  <dataValidations count="1">
    <dataValidation type="textLength" allowBlank="1" showInputMessage="1" showErrorMessage="1" errorTitle="הזנה שגויה" error="יש להזין שם מטוס כ- 3 תוים אחרונים של אות הקריאה שלו" sqref="A59:E59 A79:E79 G43:H43 G63:H63 J63:K63 I63 J43:K43 I43">
      <formula1>3</formula1>
      <formula2>3</formula2>
    </dataValidation>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pageSetUpPr fitToPage="1"/>
  </sheetPr>
  <dimension ref="A1:R43"/>
  <sheetViews>
    <sheetView rightToLeft="1" workbookViewId="0">
      <selection activeCell="N31" sqref="N31:O31"/>
    </sheetView>
  </sheetViews>
  <sheetFormatPr defaultColWidth="9" defaultRowHeight="13.8" x14ac:dyDescent="0.25"/>
  <cols>
    <col min="1" max="1" width="9" style="12"/>
    <col min="2" max="2" width="10.19921875" style="12" bestFit="1" customWidth="1"/>
    <col min="3" max="3" width="8.69921875" style="12" bestFit="1" customWidth="1"/>
    <col min="4" max="4" width="7.8984375" style="12" bestFit="1" customWidth="1"/>
    <col min="5" max="5" width="9.59765625" style="12" customWidth="1"/>
    <col min="6" max="6" width="8.09765625" style="12" bestFit="1" customWidth="1"/>
    <col min="7" max="7" width="4.3984375" style="12" customWidth="1"/>
    <col min="8" max="8" width="6.3984375" style="12" bestFit="1" customWidth="1"/>
    <col min="9" max="9" width="7.09765625" style="12" bestFit="1" customWidth="1"/>
    <col min="10" max="10" width="13.3984375" style="12" bestFit="1" customWidth="1"/>
    <col min="11" max="11" width="8.69921875" style="12" bestFit="1" customWidth="1"/>
    <col min="12" max="12" width="8.3984375" style="12" bestFit="1" customWidth="1"/>
    <col min="13" max="13" width="11.3984375" style="12" customWidth="1"/>
    <col min="14" max="14" width="5.19921875" style="12" customWidth="1"/>
    <col min="15" max="16" width="10.8984375" style="12" bestFit="1" customWidth="1"/>
    <col min="17" max="18" width="0" style="12" hidden="1" customWidth="1"/>
    <col min="19" max="16384" width="9" style="12"/>
  </cols>
  <sheetData>
    <row r="1" spans="1:18" ht="14.4" thickBot="1" x14ac:dyDescent="0.3">
      <c r="A1" s="111" t="s">
        <v>0</v>
      </c>
      <c r="B1" s="9" t="s">
        <v>1</v>
      </c>
      <c r="C1" s="9" t="s">
        <v>4</v>
      </c>
      <c r="D1" s="9" t="s">
        <v>93</v>
      </c>
      <c r="E1" s="9" t="s">
        <v>92</v>
      </c>
      <c r="F1" s="9" t="s">
        <v>5</v>
      </c>
      <c r="G1" s="8" t="s">
        <v>100</v>
      </c>
      <c r="H1" s="8" t="s">
        <v>101</v>
      </c>
      <c r="I1" s="8" t="s">
        <v>103</v>
      </c>
      <c r="J1" s="8" t="s">
        <v>104</v>
      </c>
      <c r="K1" s="8" t="s">
        <v>266</v>
      </c>
      <c r="L1" s="8" t="s">
        <v>267</v>
      </c>
      <c r="M1" s="115" t="s">
        <v>268</v>
      </c>
      <c r="N1" s="8" t="s">
        <v>108</v>
      </c>
      <c r="O1" s="112" t="s">
        <v>260</v>
      </c>
    </row>
    <row r="2" spans="1:18" ht="16.8" thickTop="1" thickBot="1" x14ac:dyDescent="0.3">
      <c r="A2" s="106" t="s">
        <v>94</v>
      </c>
      <c r="B2" s="107" t="s">
        <v>95</v>
      </c>
      <c r="C2" s="108">
        <v>3</v>
      </c>
      <c r="D2" s="109">
        <f>C2/K31/24</f>
        <v>1.3888888888888889E-3</v>
      </c>
      <c r="E2" s="109">
        <f>IF(D2=0, "00:00:00",K32+D2)</f>
        <v>0.34513888888888888</v>
      </c>
      <c r="F2" s="110">
        <f>D2*24*K30</f>
        <v>0.26666666666666666</v>
      </c>
      <c r="G2" s="207" t="s">
        <v>117</v>
      </c>
      <c r="H2" s="209">
        <v>800</v>
      </c>
      <c r="I2" s="93" t="s">
        <v>263</v>
      </c>
      <c r="J2" s="206" t="s">
        <v>94</v>
      </c>
      <c r="K2" s="207" t="s">
        <v>119</v>
      </c>
      <c r="L2" s="207" t="s">
        <v>120</v>
      </c>
      <c r="M2" s="207"/>
      <c r="N2" s="207"/>
      <c r="O2" s="104"/>
    </row>
    <row r="3" spans="1:18" ht="16.8" thickTop="1" thickBot="1" x14ac:dyDescent="0.3">
      <c r="A3" s="47" t="s">
        <v>95</v>
      </c>
      <c r="B3" s="7" t="s">
        <v>122</v>
      </c>
      <c r="C3" s="87">
        <v>3</v>
      </c>
      <c r="D3" s="88">
        <f>C3/K31/24</f>
        <v>1.3888888888888889E-3</v>
      </c>
      <c r="E3" s="88">
        <f>IF(D3=0, "00:00:00",K32+D3+D2)</f>
        <v>0.34652777777777777</v>
      </c>
      <c r="F3" s="105">
        <f>D3*24*K30</f>
        <v>0.26666666666666666</v>
      </c>
      <c r="G3" s="207" t="s">
        <v>123</v>
      </c>
      <c r="H3" s="209">
        <v>800</v>
      </c>
      <c r="I3" s="93" t="s">
        <v>265</v>
      </c>
      <c r="J3" s="206" t="s">
        <v>94</v>
      </c>
      <c r="K3" s="207" t="s">
        <v>125</v>
      </c>
      <c r="L3" s="207" t="s">
        <v>126</v>
      </c>
      <c r="M3" s="207"/>
      <c r="N3" s="207"/>
      <c r="O3" s="104"/>
    </row>
    <row r="4" spans="1:18" ht="16.8" thickTop="1" thickBot="1" x14ac:dyDescent="0.3">
      <c r="A4" s="47" t="s">
        <v>122</v>
      </c>
      <c r="B4" s="7" t="s">
        <v>186</v>
      </c>
      <c r="C4" s="87">
        <v>3</v>
      </c>
      <c r="D4" s="88">
        <f>C4/K31/24</f>
        <v>1.3888888888888889E-3</v>
      </c>
      <c r="E4" s="88">
        <f>IF(D4=0,"00:00:00",K32+D4+SUM(D2:D3))</f>
        <v>0.34791666666666665</v>
      </c>
      <c r="F4" s="105">
        <f>D4*24*K30</f>
        <v>0.26666666666666666</v>
      </c>
      <c r="G4" s="207" t="s">
        <v>123</v>
      </c>
      <c r="H4" s="209">
        <v>1500</v>
      </c>
      <c r="I4" s="93" t="s">
        <v>263</v>
      </c>
      <c r="J4" s="206" t="s">
        <v>128</v>
      </c>
      <c r="K4" s="207" t="s">
        <v>284</v>
      </c>
      <c r="L4" s="207" t="s">
        <v>285</v>
      </c>
      <c r="M4" s="207"/>
      <c r="N4" s="207"/>
      <c r="O4" s="104"/>
    </row>
    <row r="5" spans="1:18" ht="16.8" thickTop="1" thickBot="1" x14ac:dyDescent="0.3">
      <c r="A5" s="47" t="s">
        <v>186</v>
      </c>
      <c r="B5" s="7" t="s">
        <v>132</v>
      </c>
      <c r="C5" s="87">
        <v>8</v>
      </c>
      <c r="D5" s="88">
        <f>C5/K31/24</f>
        <v>3.7037037037037038E-3</v>
      </c>
      <c r="E5" s="88">
        <f>IF(D5=0,"00:00:00",K32+SUM(D2:D5))</f>
        <v>0.35162037037037036</v>
      </c>
      <c r="F5" s="105">
        <f>D5*24*K30</f>
        <v>0.71111111111111114</v>
      </c>
      <c r="G5" s="207" t="s">
        <v>133</v>
      </c>
      <c r="H5" s="209">
        <v>1500</v>
      </c>
      <c r="I5" s="93" t="s">
        <v>265</v>
      </c>
      <c r="J5" s="206" t="s">
        <v>128</v>
      </c>
      <c r="K5" s="207" t="s">
        <v>284</v>
      </c>
      <c r="L5" s="207" t="s">
        <v>285</v>
      </c>
      <c r="M5" s="207"/>
      <c r="N5" s="207"/>
      <c r="O5" s="104"/>
    </row>
    <row r="6" spans="1:18" ht="16.8" thickTop="1" thickBot="1" x14ac:dyDescent="0.3">
      <c r="A6" s="47" t="s">
        <v>132</v>
      </c>
      <c r="B6" s="7" t="s">
        <v>286</v>
      </c>
      <c r="C6" s="87">
        <v>8</v>
      </c>
      <c r="D6" s="88">
        <f>C6/K31/24</f>
        <v>3.7037037037037038E-3</v>
      </c>
      <c r="E6" s="88">
        <f>IF(D6=0, "00:00:00",K32+SUM(D2:D6))</f>
        <v>0.35532407407407407</v>
      </c>
      <c r="F6" s="105">
        <f>D6*24*K30</f>
        <v>0.71111111111111114</v>
      </c>
      <c r="G6" s="207" t="s">
        <v>144</v>
      </c>
      <c r="H6" s="209">
        <v>1500</v>
      </c>
      <c r="I6" s="93" t="s">
        <v>265</v>
      </c>
      <c r="J6" s="206" t="s">
        <v>128</v>
      </c>
      <c r="K6" s="207" t="s">
        <v>284</v>
      </c>
      <c r="L6" s="207" t="s">
        <v>285</v>
      </c>
      <c r="M6" s="207"/>
      <c r="N6" s="207"/>
      <c r="O6" s="104"/>
    </row>
    <row r="7" spans="1:18" ht="16.8" thickTop="1" thickBot="1" x14ac:dyDescent="0.3">
      <c r="A7" s="47" t="s">
        <v>286</v>
      </c>
      <c r="B7" s="7" t="s">
        <v>170</v>
      </c>
      <c r="C7" s="87">
        <v>7</v>
      </c>
      <c r="D7" s="88">
        <f>C7/K31/24</f>
        <v>3.2407407407407406E-3</v>
      </c>
      <c r="E7" s="88">
        <f>IF(D7=0, "00:00:00",K32+SUM(D2:D7))</f>
        <v>0.35856481481481484</v>
      </c>
      <c r="F7" s="105">
        <f>D7*24*K30</f>
        <v>0.62222222222222223</v>
      </c>
      <c r="G7" s="207" t="s">
        <v>171</v>
      </c>
      <c r="H7" s="209">
        <v>1500</v>
      </c>
      <c r="I7" s="93" t="s">
        <v>265</v>
      </c>
      <c r="J7" s="206" t="s">
        <v>128</v>
      </c>
      <c r="K7" s="207" t="s">
        <v>284</v>
      </c>
      <c r="L7" s="207" t="s">
        <v>285</v>
      </c>
      <c r="M7" s="207"/>
      <c r="N7" s="207"/>
      <c r="O7" s="104"/>
      <c r="R7" s="12" t="s">
        <v>263</v>
      </c>
    </row>
    <row r="8" spans="1:18" ht="16.8" thickTop="1" thickBot="1" x14ac:dyDescent="0.3">
      <c r="A8" s="47" t="s">
        <v>170</v>
      </c>
      <c r="B8" s="7" t="s">
        <v>287</v>
      </c>
      <c r="C8" s="87">
        <v>5</v>
      </c>
      <c r="D8" s="88">
        <f>C8/K31/24</f>
        <v>2.3148148148148147E-3</v>
      </c>
      <c r="E8" s="88">
        <f>IF(D8=0, "00:00:00",K32+SUM(D2:D8))</f>
        <v>0.36087962962962961</v>
      </c>
      <c r="F8" s="105">
        <f>D8*24*K30</f>
        <v>0.44444444444444442</v>
      </c>
      <c r="G8" s="207" t="s">
        <v>173</v>
      </c>
      <c r="H8" s="209">
        <v>1500</v>
      </c>
      <c r="I8" s="93" t="s">
        <v>265</v>
      </c>
      <c r="J8" s="206" t="s">
        <v>128</v>
      </c>
      <c r="K8" s="207" t="s">
        <v>284</v>
      </c>
      <c r="L8" s="207" t="s">
        <v>285</v>
      </c>
      <c r="M8" s="207"/>
      <c r="N8" s="207"/>
      <c r="O8" s="104"/>
      <c r="R8" s="12" t="s">
        <v>264</v>
      </c>
    </row>
    <row r="9" spans="1:18" ht="16.8" thickTop="1" thickBot="1" x14ac:dyDescent="0.3">
      <c r="A9" s="47" t="s">
        <v>287</v>
      </c>
      <c r="B9" s="7" t="s">
        <v>174</v>
      </c>
      <c r="C9" s="87">
        <v>3</v>
      </c>
      <c r="D9" s="88">
        <f>C9/K31/24</f>
        <v>1.3888888888888889E-3</v>
      </c>
      <c r="E9" s="88">
        <f>IF(D9=0, "00:00:00",K32+SUM(D2:D9))</f>
        <v>0.36226851851851849</v>
      </c>
      <c r="F9" s="105">
        <f>D9*24*K30</f>
        <v>0.26666666666666666</v>
      </c>
      <c r="G9" s="207" t="s">
        <v>175</v>
      </c>
      <c r="H9" s="209">
        <v>1500</v>
      </c>
      <c r="I9" s="93" t="s">
        <v>265</v>
      </c>
      <c r="J9" s="206" t="s">
        <v>288</v>
      </c>
      <c r="K9" s="207" t="s">
        <v>284</v>
      </c>
      <c r="L9" s="207" t="s">
        <v>285</v>
      </c>
      <c r="M9" s="207"/>
      <c r="N9" s="207"/>
      <c r="O9" s="104"/>
      <c r="R9" s="12" t="s">
        <v>265</v>
      </c>
    </row>
    <row r="10" spans="1:18" ht="16.8" thickTop="1" thickBot="1" x14ac:dyDescent="0.3">
      <c r="A10" s="47" t="s">
        <v>174</v>
      </c>
      <c r="B10" s="7" t="s">
        <v>176</v>
      </c>
      <c r="C10" s="87">
        <v>4</v>
      </c>
      <c r="D10" s="88">
        <f>C10/K31/24</f>
        <v>1.8518518518518519E-3</v>
      </c>
      <c r="E10" s="88">
        <f>IF(D10=0, "00:00:00",K32+SUM(D2:D10))</f>
        <v>0.36412037037037037</v>
      </c>
      <c r="F10" s="105">
        <f>D10*24*K30</f>
        <v>0.35555555555555557</v>
      </c>
      <c r="G10" s="207" t="s">
        <v>179</v>
      </c>
      <c r="H10" s="209">
        <v>1500</v>
      </c>
      <c r="I10" s="93" t="s">
        <v>265</v>
      </c>
      <c r="J10" s="206" t="s">
        <v>176</v>
      </c>
      <c r="K10" s="207" t="s">
        <v>177</v>
      </c>
      <c r="L10" s="207" t="s">
        <v>178</v>
      </c>
      <c r="M10" s="207"/>
      <c r="N10" s="207"/>
      <c r="O10" s="104"/>
    </row>
    <row r="11" spans="1:18" ht="17.25" thickTop="1" thickBot="1" x14ac:dyDescent="0.25">
      <c r="A11" s="47"/>
      <c r="B11" s="7"/>
      <c r="C11" s="87"/>
      <c r="D11" s="88">
        <f>C11/K31/24</f>
        <v>0</v>
      </c>
      <c r="E11" s="88" t="str">
        <f>IF(D11=0, "00:00:00",K32+SUM(D2:D11))</f>
        <v>00:00:00</v>
      </c>
      <c r="F11" s="105">
        <f>D11*24*K30</f>
        <v>0</v>
      </c>
      <c r="G11" s="207"/>
      <c r="H11" s="209"/>
      <c r="I11" s="93"/>
      <c r="J11" s="208"/>
      <c r="K11" s="207"/>
      <c r="L11" s="207"/>
      <c r="M11" s="207"/>
      <c r="N11" s="207"/>
      <c r="O11" s="104"/>
    </row>
    <row r="12" spans="1:18" ht="15.75" thickTop="1" thickBot="1" x14ac:dyDescent="0.25">
      <c r="A12" s="47"/>
      <c r="B12" s="7"/>
      <c r="C12" s="87"/>
      <c r="D12" s="88">
        <f>C12/K31/24</f>
        <v>0</v>
      </c>
      <c r="E12" s="88" t="str">
        <f>IF(D12=0, "00:00:00",K32+SUM(D2:D12))</f>
        <v>00:00:00</v>
      </c>
      <c r="F12" s="105">
        <f>D12*24*K30</f>
        <v>0</v>
      </c>
      <c r="G12" s="93"/>
      <c r="H12" s="116"/>
      <c r="I12" s="93"/>
      <c r="J12" s="93"/>
      <c r="K12" s="93"/>
      <c r="L12" s="93"/>
      <c r="M12" s="93"/>
      <c r="N12" s="93"/>
      <c r="O12" s="104"/>
    </row>
    <row r="13" spans="1:18" ht="15.75" thickTop="1" thickBot="1" x14ac:dyDescent="0.25">
      <c r="A13" s="47"/>
      <c r="B13" s="7"/>
      <c r="C13" s="87"/>
      <c r="D13" s="88">
        <f>C13/K31/24</f>
        <v>0</v>
      </c>
      <c r="E13" s="88" t="str">
        <f>IF(D13=0, "00:00:00",K32+SUM(D2:D13))</f>
        <v>00:00:00</v>
      </c>
      <c r="F13" s="105">
        <f>D13*24*K30</f>
        <v>0</v>
      </c>
      <c r="G13" s="93"/>
      <c r="H13" s="116"/>
      <c r="I13" s="93"/>
      <c r="J13" s="93"/>
      <c r="K13" s="93"/>
      <c r="L13" s="93"/>
      <c r="M13" s="93"/>
      <c r="N13" s="93"/>
      <c r="O13" s="104"/>
    </row>
    <row r="14" spans="1:18" ht="15.75" thickTop="1" thickBot="1" x14ac:dyDescent="0.25">
      <c r="A14" s="47"/>
      <c r="B14" s="7"/>
      <c r="C14" s="87"/>
      <c r="D14" s="88">
        <f>C14/K31/24</f>
        <v>0</v>
      </c>
      <c r="E14" s="88" t="str">
        <f>IF(D14=0, "00:00:00",K32+SUM(D2:D14))</f>
        <v>00:00:00</v>
      </c>
      <c r="F14" s="105">
        <f>D14*24*K30</f>
        <v>0</v>
      </c>
      <c r="G14" s="93"/>
      <c r="H14" s="116"/>
      <c r="I14" s="93"/>
      <c r="J14" s="93"/>
      <c r="K14" s="93"/>
      <c r="L14" s="93"/>
      <c r="M14" s="93"/>
      <c r="N14" s="93"/>
      <c r="O14" s="104"/>
    </row>
    <row r="15" spans="1:18" ht="15.75" thickTop="1" thickBot="1" x14ac:dyDescent="0.25">
      <c r="A15" s="47"/>
      <c r="B15" s="7"/>
      <c r="C15" s="87"/>
      <c r="D15" s="88">
        <f>C15/K31/24</f>
        <v>0</v>
      </c>
      <c r="E15" s="88" t="str">
        <f>IF(D15=0, "00:00:00",K32+SUM(D2:D15))</f>
        <v>00:00:00</v>
      </c>
      <c r="F15" s="105">
        <f>D15*24*K30</f>
        <v>0</v>
      </c>
      <c r="G15" s="93"/>
      <c r="H15" s="116"/>
      <c r="I15" s="93"/>
      <c r="J15" s="93"/>
      <c r="K15" s="93"/>
      <c r="L15" s="93"/>
      <c r="M15" s="93"/>
      <c r="N15" s="93"/>
      <c r="O15" s="104"/>
    </row>
    <row r="16" spans="1:18" ht="15.75" thickTop="1" thickBot="1" x14ac:dyDescent="0.25">
      <c r="A16" s="47"/>
      <c r="B16" s="7"/>
      <c r="C16" s="87"/>
      <c r="D16" s="88">
        <f>C16/K31/24</f>
        <v>0</v>
      </c>
      <c r="E16" s="88" t="str">
        <f>IF(D16=0, "00:00:00",K32+SUM(D2:D16))</f>
        <v>00:00:00</v>
      </c>
      <c r="F16" s="105">
        <f>D16*24*K30</f>
        <v>0</v>
      </c>
      <c r="G16" s="93"/>
      <c r="H16" s="116"/>
      <c r="I16" s="93"/>
      <c r="J16" s="93"/>
      <c r="K16" s="93"/>
      <c r="L16" s="93"/>
      <c r="M16" s="93"/>
      <c r="N16" s="93"/>
      <c r="O16" s="104"/>
    </row>
    <row r="17" spans="1:15" ht="15.75" thickTop="1" thickBot="1" x14ac:dyDescent="0.25">
      <c r="A17" s="47"/>
      <c r="B17" s="7"/>
      <c r="C17" s="87"/>
      <c r="D17" s="88">
        <f>C17/K31/24</f>
        <v>0</v>
      </c>
      <c r="E17" s="88" t="str">
        <f>IF(D17=0, "00:00:00",K32+SUM(D2:D17))</f>
        <v>00:00:00</v>
      </c>
      <c r="F17" s="105">
        <f>D17*24*K30</f>
        <v>0</v>
      </c>
      <c r="G17" s="93"/>
      <c r="H17" s="116"/>
      <c r="I17" s="93"/>
      <c r="J17" s="93"/>
      <c r="K17" s="93"/>
      <c r="L17" s="93"/>
      <c r="M17" s="93"/>
      <c r="N17" s="93"/>
      <c r="O17" s="104"/>
    </row>
    <row r="18" spans="1:15" ht="15.75" thickTop="1" thickBot="1" x14ac:dyDescent="0.25">
      <c r="A18" s="47"/>
      <c r="B18" s="7"/>
      <c r="C18" s="87"/>
      <c r="D18" s="88">
        <f>C18/K31/24</f>
        <v>0</v>
      </c>
      <c r="E18" s="88" t="str">
        <f>IF(D18=0, "00:00:00",K32+SUM(D2:D18))</f>
        <v>00:00:00</v>
      </c>
      <c r="F18" s="105">
        <f>D18*24*K30</f>
        <v>0</v>
      </c>
      <c r="G18" s="93"/>
      <c r="H18" s="116"/>
      <c r="I18" s="93"/>
      <c r="J18" s="93"/>
      <c r="K18" s="93"/>
      <c r="L18" s="93"/>
      <c r="M18" s="93"/>
      <c r="N18" s="93"/>
      <c r="O18" s="104"/>
    </row>
    <row r="19" spans="1:15" ht="15.75" thickTop="1" thickBot="1" x14ac:dyDescent="0.25">
      <c r="A19" s="47"/>
      <c r="B19" s="7"/>
      <c r="C19" s="87"/>
      <c r="D19" s="88">
        <f>C19/K31/24</f>
        <v>0</v>
      </c>
      <c r="E19" s="88" t="str">
        <f>IF(D19=0, "00:00:00",K32+SUM(D2:D19))</f>
        <v>00:00:00</v>
      </c>
      <c r="F19" s="105">
        <f>D19*24*K30</f>
        <v>0</v>
      </c>
      <c r="G19" s="93"/>
      <c r="H19" s="116"/>
      <c r="I19" s="93"/>
      <c r="J19" s="93"/>
      <c r="K19" s="93"/>
      <c r="L19" s="93"/>
      <c r="M19" s="93"/>
      <c r="N19" s="93"/>
      <c r="O19" s="104"/>
    </row>
    <row r="20" spans="1:15" ht="15.75" thickTop="1" thickBot="1" x14ac:dyDescent="0.25">
      <c r="A20" s="47"/>
      <c r="B20" s="7"/>
      <c r="C20" s="87"/>
      <c r="D20" s="88">
        <f>C20/K31/24</f>
        <v>0</v>
      </c>
      <c r="E20" s="88" t="str">
        <f>IF(D20=0, "00:00:00",K32+SUM(D2:D20))</f>
        <v>00:00:00</v>
      </c>
      <c r="F20" s="105">
        <f>D20*24*K30</f>
        <v>0</v>
      </c>
      <c r="G20" s="93"/>
      <c r="H20" s="116"/>
      <c r="I20" s="93"/>
      <c r="J20" s="93"/>
      <c r="K20" s="93"/>
      <c r="L20" s="93"/>
      <c r="M20" s="93"/>
      <c r="N20" s="93"/>
      <c r="O20" s="104"/>
    </row>
    <row r="21" spans="1:15" ht="15.75" thickTop="1" thickBot="1" x14ac:dyDescent="0.25">
      <c r="A21" s="47"/>
      <c r="B21" s="7"/>
      <c r="C21" s="87"/>
      <c r="D21" s="88">
        <f>C21/K31/24</f>
        <v>0</v>
      </c>
      <c r="E21" s="88" t="str">
        <f>IF(D21=0, "00:00:00",K32+SUM(D2:D21))</f>
        <v>00:00:00</v>
      </c>
      <c r="F21" s="105">
        <f>D21*24*K30</f>
        <v>0</v>
      </c>
      <c r="G21" s="93"/>
      <c r="H21" s="116"/>
      <c r="I21" s="93"/>
      <c r="J21" s="93"/>
      <c r="K21" s="93"/>
      <c r="L21" s="93"/>
      <c r="M21" s="93"/>
      <c r="N21" s="93"/>
      <c r="O21" s="104"/>
    </row>
    <row r="22" spans="1:15" ht="15.75" thickTop="1" thickBot="1" x14ac:dyDescent="0.25">
      <c r="A22" s="47"/>
      <c r="B22" s="7"/>
      <c r="C22" s="87"/>
      <c r="D22" s="88">
        <f>C22/K31/24</f>
        <v>0</v>
      </c>
      <c r="E22" s="88" t="str">
        <f>IF(D22=0, "00:00:00",K32+SUM(D2:D22))</f>
        <v>00:00:00</v>
      </c>
      <c r="F22" s="105">
        <f>D22*24*K30</f>
        <v>0</v>
      </c>
      <c r="G22" s="93"/>
      <c r="H22" s="116"/>
      <c r="I22" s="93"/>
      <c r="J22" s="93"/>
      <c r="K22" s="93"/>
      <c r="L22" s="93"/>
      <c r="M22" s="93"/>
      <c r="N22" s="93"/>
      <c r="O22" s="104"/>
    </row>
    <row r="23" spans="1:15" ht="15" thickTop="1" thickBot="1" x14ac:dyDescent="0.3">
      <c r="A23" s="15"/>
      <c r="B23" s="18" t="s">
        <v>3</v>
      </c>
      <c r="C23" s="89">
        <f>SUM(C2:C22)</f>
        <v>44</v>
      </c>
      <c r="D23" s="90">
        <f>SUM(D2:D22)</f>
        <v>2.0370370370370369E-2</v>
      </c>
      <c r="E23" s="91">
        <f>K32+D23</f>
        <v>0.36412037037037037</v>
      </c>
      <c r="F23" s="92">
        <f>SUM(F2:F22)</f>
        <v>3.911111111111111</v>
      </c>
      <c r="G23" s="13"/>
      <c r="H23" s="13"/>
      <c r="I23" s="13"/>
      <c r="J23" s="13"/>
      <c r="K23" s="13"/>
      <c r="L23" s="13"/>
      <c r="M23" s="13"/>
      <c r="N23" s="13"/>
      <c r="O23" s="14"/>
    </row>
    <row r="24" spans="1:15" ht="14.4" thickBot="1" x14ac:dyDescent="0.3">
      <c r="A24" s="15"/>
      <c r="B24" s="13"/>
      <c r="C24" s="13"/>
      <c r="D24" s="13"/>
      <c r="E24" s="13"/>
      <c r="F24" s="13"/>
      <c r="G24" s="13"/>
      <c r="H24" s="114" t="s">
        <v>262</v>
      </c>
      <c r="I24" s="211" t="s">
        <v>270</v>
      </c>
      <c r="J24" s="211" t="s">
        <v>271</v>
      </c>
      <c r="K24" s="211" t="s">
        <v>272</v>
      </c>
      <c r="L24" s="13"/>
      <c r="M24" s="285" t="s">
        <v>273</v>
      </c>
      <c r="N24" s="286"/>
      <c r="O24" s="287"/>
    </row>
    <row r="25" spans="1:15" ht="14.4" thickBot="1" x14ac:dyDescent="0.3">
      <c r="A25" s="274" t="s">
        <v>23</v>
      </c>
      <c r="B25" s="275"/>
      <c r="C25" s="276"/>
      <c r="D25" s="276"/>
      <c r="E25" s="277"/>
      <c r="F25" s="13"/>
      <c r="G25" s="13"/>
      <c r="H25" s="213" t="str">
        <f>IF(A2=0,"",A2)</f>
        <v>הרצליה</v>
      </c>
      <c r="I25" s="212" t="s">
        <v>176</v>
      </c>
      <c r="J25" s="212"/>
      <c r="K25" s="212" t="s">
        <v>94</v>
      </c>
      <c r="L25" s="13"/>
      <c r="M25" s="214" t="s">
        <v>274</v>
      </c>
      <c r="N25" s="283" t="s">
        <v>275</v>
      </c>
      <c r="O25" s="284"/>
    </row>
    <row r="26" spans="1:15" ht="13.5" customHeight="1" thickBot="1" x14ac:dyDescent="0.3">
      <c r="A26" s="278" t="s">
        <v>6</v>
      </c>
      <c r="B26" s="279"/>
      <c r="C26" s="279"/>
      <c r="D26" s="279"/>
      <c r="E26" s="98">
        <f>(45/60)*K30</f>
        <v>6</v>
      </c>
      <c r="F26" s="13"/>
      <c r="G26" s="13"/>
      <c r="H26" s="13"/>
      <c r="I26" s="13"/>
      <c r="J26" s="13"/>
      <c r="K26" s="13"/>
      <c r="L26" s="13"/>
      <c r="M26" s="215" t="s">
        <v>205</v>
      </c>
      <c r="N26" s="243"/>
      <c r="O26" s="244"/>
    </row>
    <row r="27" spans="1:15" ht="15.75" hidden="1" customHeight="1" thickBot="1" x14ac:dyDescent="0.3">
      <c r="A27" s="99" t="s">
        <v>7</v>
      </c>
      <c r="B27" s="40"/>
      <c r="C27" s="40"/>
      <c r="D27" s="40"/>
      <c r="E27" s="100">
        <f>K30</f>
        <v>8</v>
      </c>
      <c r="F27" s="13"/>
      <c r="G27" s="13"/>
      <c r="H27" s="13"/>
      <c r="I27" s="14"/>
      <c r="J27" s="13"/>
      <c r="K27" s="13"/>
      <c r="L27" s="13"/>
      <c r="M27" s="13"/>
      <c r="N27" s="13"/>
      <c r="O27" s="14"/>
    </row>
    <row r="28" spans="1:15" ht="14.4" thickBot="1" x14ac:dyDescent="0.3">
      <c r="A28" s="280" t="s">
        <v>67</v>
      </c>
      <c r="B28" s="263"/>
      <c r="C28" s="263"/>
      <c r="D28" s="263"/>
      <c r="E28" s="101">
        <f>F23+K29</f>
        <v>5.0111111111111111</v>
      </c>
      <c r="F28" s="13"/>
      <c r="G28" s="271" t="s">
        <v>55</v>
      </c>
      <c r="H28" s="272"/>
      <c r="I28" s="272"/>
      <c r="J28" s="272"/>
      <c r="K28" s="273"/>
      <c r="L28" s="13"/>
      <c r="O28" s="14"/>
    </row>
    <row r="29" spans="1:15" ht="15" thickTop="1" thickBot="1" x14ac:dyDescent="0.3">
      <c r="A29" s="280" t="s">
        <v>68</v>
      </c>
      <c r="B29" s="263"/>
      <c r="C29" s="263"/>
      <c r="D29" s="263"/>
      <c r="E29" s="101">
        <f>F23+E26+K29</f>
        <v>11.011111111111111</v>
      </c>
      <c r="F29" s="13"/>
      <c r="G29" s="264" t="s">
        <v>58</v>
      </c>
      <c r="H29" s="265"/>
      <c r="I29" s="265"/>
      <c r="J29" s="266"/>
      <c r="K29" s="93">
        <v>1.1000000000000001</v>
      </c>
      <c r="L29" s="13"/>
      <c r="M29" s="274" t="s">
        <v>283</v>
      </c>
      <c r="N29" s="281"/>
      <c r="O29" s="282"/>
    </row>
    <row r="30" spans="1:15" ht="15" thickTop="1" thickBot="1" x14ac:dyDescent="0.3">
      <c r="A30" s="280" t="s">
        <v>69</v>
      </c>
      <c r="B30" s="263"/>
      <c r="C30" s="263"/>
      <c r="D30" s="263"/>
      <c r="E30" s="101">
        <f>F23+E27+K29</f>
        <v>13.011111111111111</v>
      </c>
      <c r="F30" s="13"/>
      <c r="G30" s="267" t="s">
        <v>54</v>
      </c>
      <c r="H30" s="268"/>
      <c r="I30" s="268"/>
      <c r="J30" s="268"/>
      <c r="K30" s="93">
        <v>8</v>
      </c>
      <c r="L30" s="13"/>
      <c r="M30" s="216" t="s">
        <v>277</v>
      </c>
      <c r="N30" s="243">
        <v>7645</v>
      </c>
      <c r="O30" s="244"/>
    </row>
    <row r="31" spans="1:15" ht="15" thickTop="1" thickBot="1" x14ac:dyDescent="0.3">
      <c r="A31" s="262" t="s">
        <v>56</v>
      </c>
      <c r="B31" s="263"/>
      <c r="C31" s="263"/>
      <c r="D31" s="263"/>
      <c r="E31" s="102">
        <f>D23</f>
        <v>2.0370370370370369E-2</v>
      </c>
      <c r="F31" s="13"/>
      <c r="G31" s="267" t="s">
        <v>60</v>
      </c>
      <c r="H31" s="268"/>
      <c r="I31" s="268"/>
      <c r="J31" s="268"/>
      <c r="K31" s="93">
        <v>90</v>
      </c>
      <c r="L31" s="13"/>
      <c r="M31" s="217" t="s">
        <v>276</v>
      </c>
      <c r="N31" s="243">
        <v>1</v>
      </c>
      <c r="O31" s="244"/>
    </row>
    <row r="32" spans="1:15" ht="15" thickTop="1" thickBot="1" x14ac:dyDescent="0.3">
      <c r="A32" s="260" t="s">
        <v>57</v>
      </c>
      <c r="B32" s="261"/>
      <c r="C32" s="261"/>
      <c r="D32" s="261"/>
      <c r="E32" s="103">
        <f>C23</f>
        <v>44</v>
      </c>
      <c r="F32" s="13"/>
      <c r="G32" s="269" t="s">
        <v>91</v>
      </c>
      <c r="H32" s="270"/>
      <c r="I32" s="270"/>
      <c r="J32" s="270"/>
      <c r="K32" s="94">
        <v>0.34375</v>
      </c>
      <c r="L32" s="13"/>
      <c r="M32" s="217" t="s">
        <v>278</v>
      </c>
      <c r="N32" s="243" t="s">
        <v>289</v>
      </c>
      <c r="O32" s="244"/>
    </row>
    <row r="33" spans="1:16" ht="14.4" thickBot="1" x14ac:dyDescent="0.3">
      <c r="A33" s="15"/>
      <c r="B33" s="13"/>
      <c r="C33" s="13"/>
      <c r="D33" s="13"/>
      <c r="E33" s="13"/>
      <c r="F33" s="13"/>
      <c r="G33" s="13"/>
      <c r="H33" s="13"/>
      <c r="I33" s="13"/>
      <c r="J33" s="13"/>
      <c r="K33" s="13"/>
      <c r="L33" s="13"/>
      <c r="M33" s="217" t="s">
        <v>279</v>
      </c>
      <c r="N33" s="245">
        <v>0.14583333333333334</v>
      </c>
      <c r="O33" s="244"/>
    </row>
    <row r="34" spans="1:16" ht="14.25" customHeight="1" thickBot="1" x14ac:dyDescent="0.3">
      <c r="A34" s="254" t="s">
        <v>261</v>
      </c>
      <c r="B34" s="255"/>
      <c r="C34" s="255"/>
      <c r="D34" s="255"/>
      <c r="E34" s="255"/>
      <c r="F34" s="255"/>
      <c r="G34" s="255"/>
      <c r="H34" s="255"/>
      <c r="I34" s="255"/>
      <c r="J34" s="255"/>
      <c r="K34" s="256"/>
      <c r="L34" s="13"/>
      <c r="M34" s="217" t="s">
        <v>280</v>
      </c>
      <c r="N34" s="243">
        <v>172</v>
      </c>
      <c r="O34" s="244"/>
    </row>
    <row r="35" spans="1:16" ht="14.4" thickBot="1" x14ac:dyDescent="0.3">
      <c r="A35" s="257"/>
      <c r="B35" s="258"/>
      <c r="C35" s="258"/>
      <c r="D35" s="258"/>
      <c r="E35" s="258"/>
      <c r="F35" s="258"/>
      <c r="G35" s="258"/>
      <c r="H35" s="258"/>
      <c r="I35" s="258"/>
      <c r="J35" s="258"/>
      <c r="K35" s="259"/>
      <c r="L35" s="13"/>
      <c r="M35" s="218" t="s">
        <v>281</v>
      </c>
      <c r="N35" s="243" t="s">
        <v>90</v>
      </c>
      <c r="O35" s="244"/>
    </row>
    <row r="36" spans="1:16" ht="2.25" customHeight="1" x14ac:dyDescent="0.25">
      <c r="A36" s="257"/>
      <c r="B36" s="258"/>
      <c r="C36" s="258"/>
      <c r="D36" s="258"/>
      <c r="E36" s="258"/>
      <c r="F36" s="258"/>
      <c r="G36" s="258"/>
      <c r="H36" s="258"/>
      <c r="I36" s="258"/>
      <c r="J36" s="258"/>
      <c r="K36" s="259"/>
      <c r="L36" s="13"/>
      <c r="M36" s="210" t="s">
        <v>282</v>
      </c>
      <c r="N36" s="13"/>
      <c r="O36" s="14"/>
    </row>
    <row r="37" spans="1:16" ht="14.25" customHeight="1" x14ac:dyDescent="0.25">
      <c r="A37" s="246" t="s">
        <v>89</v>
      </c>
      <c r="B37" s="247"/>
      <c r="C37" s="247"/>
      <c r="D37" s="247"/>
      <c r="E37" s="247"/>
      <c r="F37" s="247"/>
      <c r="G37" s="247"/>
      <c r="H37" s="247"/>
      <c r="I37" s="247"/>
      <c r="J37" s="248"/>
      <c r="K37" s="249"/>
      <c r="L37" s="13"/>
      <c r="M37" s="13"/>
      <c r="N37" s="13"/>
      <c r="O37" s="14"/>
    </row>
    <row r="38" spans="1:16" ht="19.5" customHeight="1" thickBot="1" x14ac:dyDescent="0.3">
      <c r="A38" s="250"/>
      <c r="B38" s="247"/>
      <c r="C38" s="247"/>
      <c r="D38" s="247"/>
      <c r="E38" s="247"/>
      <c r="F38" s="247"/>
      <c r="G38" s="247"/>
      <c r="H38" s="247"/>
      <c r="I38" s="247"/>
      <c r="J38" s="248"/>
      <c r="K38" s="249"/>
      <c r="L38" s="13"/>
      <c r="M38" s="13"/>
      <c r="N38" s="13"/>
      <c r="O38" s="14"/>
    </row>
    <row r="39" spans="1:16" ht="14.25" hidden="1" x14ac:dyDescent="0.2">
      <c r="A39" s="250"/>
      <c r="B39" s="247"/>
      <c r="C39" s="247"/>
      <c r="D39" s="247"/>
      <c r="E39" s="247"/>
      <c r="F39" s="247"/>
      <c r="G39" s="247"/>
      <c r="H39" s="247"/>
      <c r="I39" s="247"/>
      <c r="J39" s="248"/>
      <c r="K39" s="249"/>
      <c r="L39" s="13"/>
      <c r="M39" s="13"/>
      <c r="N39" s="13"/>
      <c r="O39" s="14"/>
    </row>
    <row r="40" spans="1:16" ht="15" hidden="1" thickBot="1" x14ac:dyDescent="0.25">
      <c r="A40" s="251"/>
      <c r="B40" s="252"/>
      <c r="C40" s="252"/>
      <c r="D40" s="252"/>
      <c r="E40" s="252"/>
      <c r="F40" s="252"/>
      <c r="G40" s="252"/>
      <c r="H40" s="252"/>
      <c r="I40" s="252"/>
      <c r="J40" s="252"/>
      <c r="K40" s="253"/>
      <c r="L40" s="16"/>
      <c r="M40" s="16"/>
      <c r="N40" s="16"/>
      <c r="O40" s="17"/>
    </row>
    <row r="41" spans="1:16" ht="14.25" x14ac:dyDescent="0.2">
      <c r="A41" s="113"/>
      <c r="B41" s="10"/>
      <c r="C41" s="10"/>
      <c r="D41" s="10"/>
      <c r="E41" s="10"/>
      <c r="F41" s="10"/>
      <c r="G41" s="10"/>
      <c r="H41" s="10"/>
      <c r="I41" s="10"/>
      <c r="J41" s="10"/>
      <c r="K41" s="10"/>
      <c r="L41" s="10"/>
      <c r="M41" s="10"/>
      <c r="N41" s="10"/>
      <c r="O41" s="10"/>
      <c r="P41" s="13"/>
    </row>
    <row r="42" spans="1:16" ht="14.25" x14ac:dyDescent="0.2">
      <c r="A42" s="13"/>
      <c r="B42" s="13"/>
      <c r="C42" s="13"/>
      <c r="D42" s="13"/>
      <c r="E42" s="13"/>
      <c r="F42" s="13"/>
      <c r="G42" s="13"/>
      <c r="H42" s="13"/>
      <c r="I42" s="13"/>
      <c r="J42" s="13"/>
      <c r="K42" s="13"/>
      <c r="L42" s="13"/>
      <c r="M42" s="13"/>
      <c r="N42" s="13"/>
      <c r="O42" s="13"/>
      <c r="P42" s="13"/>
    </row>
    <row r="43" spans="1:16" ht="14.25" x14ac:dyDescent="0.2">
      <c r="A43" s="13"/>
      <c r="B43" s="13"/>
      <c r="C43" s="13"/>
      <c r="D43" s="13"/>
      <c r="E43" s="13"/>
      <c r="F43" s="13"/>
      <c r="G43" s="13"/>
      <c r="H43" s="13"/>
      <c r="I43" s="13"/>
      <c r="J43" s="13"/>
      <c r="K43" s="13"/>
      <c r="L43" s="13"/>
      <c r="M43" s="13"/>
      <c r="N43" s="13"/>
      <c r="O43" s="13"/>
      <c r="P43" s="13"/>
    </row>
  </sheetData>
  <sheetProtection algorithmName="SHA-512" hashValue="8pVSixf/tYbf0PWULIbzsBZdne0hUp/BlOp1pxNAhd7u49J1JwvKniC95WOvSVTMqDL3YAETOb/7Y58Sb1XbNA==" saltValue="SO1tXhwuscDQt/xvd1qgCg==" spinCount="100000" sheet="1" objects="1" scenarios="1" selectLockedCells="1"/>
  <mergeCells count="24">
    <mergeCell ref="N30:O30"/>
    <mergeCell ref="M29:O29"/>
    <mergeCell ref="N26:O26"/>
    <mergeCell ref="N25:O25"/>
    <mergeCell ref="M24:O24"/>
    <mergeCell ref="G28:K28"/>
    <mergeCell ref="A25:E25"/>
    <mergeCell ref="G30:J30"/>
    <mergeCell ref="A26:D26"/>
    <mergeCell ref="A28:D28"/>
    <mergeCell ref="A29:D29"/>
    <mergeCell ref="A30:D30"/>
    <mergeCell ref="A37:K40"/>
    <mergeCell ref="A34:K36"/>
    <mergeCell ref="A32:D32"/>
    <mergeCell ref="A31:D31"/>
    <mergeCell ref="G29:J29"/>
    <mergeCell ref="G31:J31"/>
    <mergeCell ref="G32:J32"/>
    <mergeCell ref="N31:O31"/>
    <mergeCell ref="N32:O32"/>
    <mergeCell ref="N33:O33"/>
    <mergeCell ref="N34:O34"/>
    <mergeCell ref="N35:O35"/>
  </mergeCells>
  <dataValidations count="4">
    <dataValidation type="time" operator="greaterThanOrEqual" allowBlank="1" showInputMessage="1" showErrorMessage="1" errorTitle="הזנה שגויה" error="הזן שעת המראה" sqref="K32">
      <formula1>0</formula1>
    </dataValidation>
    <dataValidation type="decimal" operator="greaterThan"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K29:K31">
      <formula1>0</formula1>
    </dataValidation>
    <dataValidation operator="greaterThan"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A2:B22"/>
    <dataValidation type="decimal" operator="greaterThanOrEqual" allowBlank="1" showInputMessage="1" showErrorMessage="1" errorTitle="הזנה שגויה" error="יש להזין מרחק במספרים בלבד" sqref="C2:C22">
      <formula1>0</formula1>
    </dataValidation>
  </dataValidations>
  <pageMargins left="0.23622047244094491" right="0.23622047244094491" top="0.74803149606299213" bottom="0.74803149606299213" header="0.31496062992125984" footer="0.31496062992125984"/>
  <pageSetup paperSize="9" scale="86" orientation="landscape" verticalDpi="200" r:id="rId1"/>
  <ignoredErrors>
    <ignoredError sqref="F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3"/>
  <sheetViews>
    <sheetView rightToLeft="1" topLeftCell="A16" workbookViewId="0">
      <selection activeCell="A48" sqref="A48:Q75"/>
    </sheetView>
  </sheetViews>
  <sheetFormatPr defaultColWidth="9" defaultRowHeight="15" x14ac:dyDescent="0.25"/>
  <cols>
    <col min="1" max="10" width="9" style="119"/>
    <col min="11" max="11" width="12.3984375" style="119" bestFit="1" customWidth="1"/>
    <col min="12" max="16384" width="9" style="119"/>
  </cols>
  <sheetData>
    <row r="1" spans="1:17" ht="16.2" thickBot="1" x14ac:dyDescent="0.3">
      <c r="A1" s="117"/>
      <c r="B1" s="117"/>
      <c r="C1" s="117"/>
      <c r="D1" s="117"/>
      <c r="E1" s="117"/>
      <c r="F1" s="118" t="s">
        <v>109</v>
      </c>
      <c r="G1" s="117"/>
      <c r="H1" s="117"/>
      <c r="I1" s="117"/>
      <c r="J1" s="117"/>
      <c r="K1" s="117"/>
      <c r="L1" s="117"/>
      <c r="M1" s="117"/>
      <c r="N1" s="117"/>
      <c r="O1" s="117"/>
      <c r="P1" s="117"/>
      <c r="Q1" s="117"/>
    </row>
    <row r="2" spans="1:17" ht="16.8" thickTop="1" thickBot="1" x14ac:dyDescent="0.3">
      <c r="A2" s="120" t="s">
        <v>0</v>
      </c>
      <c r="B2" s="121" t="s">
        <v>110</v>
      </c>
      <c r="C2" s="121" t="s">
        <v>100</v>
      </c>
      <c r="D2" s="121" t="s">
        <v>101</v>
      </c>
      <c r="E2" s="121" t="s">
        <v>102</v>
      </c>
      <c r="F2" s="121" t="s">
        <v>111</v>
      </c>
      <c r="G2" s="121" t="s">
        <v>103</v>
      </c>
      <c r="H2" s="121" t="s">
        <v>112</v>
      </c>
      <c r="I2" s="121" t="s">
        <v>105</v>
      </c>
      <c r="J2" s="121" t="s">
        <v>106</v>
      </c>
      <c r="K2" s="121" t="s">
        <v>107</v>
      </c>
      <c r="L2" s="122" t="s">
        <v>113</v>
      </c>
      <c r="M2" s="122" t="s">
        <v>114</v>
      </c>
      <c r="N2" s="123"/>
      <c r="O2" s="124" t="s">
        <v>115</v>
      </c>
      <c r="P2" s="125" t="s">
        <v>116</v>
      </c>
      <c r="Q2" s="125"/>
    </row>
    <row r="3" spans="1:17" ht="16.8" thickTop="1" thickBot="1" x14ac:dyDescent="0.35">
      <c r="A3" s="126" t="s">
        <v>94</v>
      </c>
      <c r="B3" s="127" t="s">
        <v>95</v>
      </c>
      <c r="C3" s="128" t="s">
        <v>117</v>
      </c>
      <c r="D3" s="129">
        <v>800</v>
      </c>
      <c r="E3" s="129">
        <v>3</v>
      </c>
      <c r="F3" s="130">
        <f t="shared" ref="F3:F11" si="0">E3*0.6666666/24</f>
        <v>8.3333325E-2</v>
      </c>
      <c r="G3" s="131" t="s">
        <v>118</v>
      </c>
      <c r="H3" s="132" t="s">
        <v>94</v>
      </c>
      <c r="I3" s="128" t="s">
        <v>119</v>
      </c>
      <c r="J3" s="128" t="s">
        <v>120</v>
      </c>
      <c r="K3" s="128"/>
      <c r="L3" s="133"/>
      <c r="M3" s="134">
        <f>$Q$6/60*F3*24</f>
        <v>0.26666664000000001</v>
      </c>
      <c r="N3" s="123"/>
      <c r="O3" s="135" t="s">
        <v>121</v>
      </c>
      <c r="P3" s="136"/>
      <c r="Q3" s="137">
        <v>1.1000000000000001</v>
      </c>
    </row>
    <row r="4" spans="1:17" ht="16.2" thickTop="1" x14ac:dyDescent="0.3">
      <c r="A4" s="127" t="s">
        <v>95</v>
      </c>
      <c r="B4" s="138" t="s">
        <v>122</v>
      </c>
      <c r="C4" s="139" t="s">
        <v>123</v>
      </c>
      <c r="D4" s="140">
        <v>800</v>
      </c>
      <c r="E4" s="140">
        <v>3</v>
      </c>
      <c r="F4" s="141">
        <v>8.3333333333333329E-2</v>
      </c>
      <c r="G4" s="142" t="s">
        <v>124</v>
      </c>
      <c r="H4" s="132" t="s">
        <v>94</v>
      </c>
      <c r="I4" s="139" t="s">
        <v>125</v>
      </c>
      <c r="J4" s="139" t="s">
        <v>126</v>
      </c>
      <c r="K4" s="139"/>
      <c r="L4" s="143"/>
      <c r="M4" s="144">
        <v>0.27</v>
      </c>
      <c r="N4" s="123"/>
      <c r="O4" s="145"/>
      <c r="P4" s="146"/>
      <c r="Q4" s="147"/>
    </row>
    <row r="5" spans="1:17" ht="15.6" x14ac:dyDescent="0.3">
      <c r="A5" s="148" t="s">
        <v>122</v>
      </c>
      <c r="B5" s="149" t="s">
        <v>127</v>
      </c>
      <c r="C5" s="150" t="s">
        <v>123</v>
      </c>
      <c r="D5" s="151">
        <v>1500</v>
      </c>
      <c r="E5" s="151">
        <v>3</v>
      </c>
      <c r="F5" s="152">
        <f t="shared" si="0"/>
        <v>8.3333325E-2</v>
      </c>
      <c r="G5" s="142" t="s">
        <v>118</v>
      </c>
      <c r="H5" s="153" t="s">
        <v>128</v>
      </c>
      <c r="I5" s="150" t="s">
        <v>129</v>
      </c>
      <c r="J5" s="150" t="s">
        <v>130</v>
      </c>
      <c r="K5" s="150"/>
      <c r="L5" s="154"/>
      <c r="M5" s="155">
        <f t="shared" ref="M5:M12" si="1">$Q$6/60*F5*24</f>
        <v>0.26666664000000001</v>
      </c>
      <c r="N5" s="156"/>
      <c r="O5" s="145" t="s">
        <v>131</v>
      </c>
      <c r="P5" s="157"/>
      <c r="Q5" s="147">
        <v>1</v>
      </c>
    </row>
    <row r="6" spans="1:17" ht="15.6" x14ac:dyDescent="0.3">
      <c r="A6" s="148" t="s">
        <v>127</v>
      </c>
      <c r="B6" s="149" t="s">
        <v>132</v>
      </c>
      <c r="C6" s="150" t="s">
        <v>133</v>
      </c>
      <c r="D6" s="151">
        <v>1500</v>
      </c>
      <c r="E6" s="151">
        <v>8</v>
      </c>
      <c r="F6" s="152">
        <f t="shared" si="0"/>
        <v>0.22222220000000001</v>
      </c>
      <c r="G6" s="142" t="s">
        <v>124</v>
      </c>
      <c r="H6" s="153" t="s">
        <v>128</v>
      </c>
      <c r="I6" s="150" t="s">
        <v>129</v>
      </c>
      <c r="J6" s="150" t="s">
        <v>130</v>
      </c>
      <c r="K6" s="150" t="s">
        <v>134</v>
      </c>
      <c r="L6" s="154" t="s">
        <v>135</v>
      </c>
      <c r="M6" s="155">
        <f t="shared" si="1"/>
        <v>0.71111104000000003</v>
      </c>
      <c r="N6" s="156"/>
      <c r="O6" s="145" t="s">
        <v>136</v>
      </c>
      <c r="P6" s="146" t="s">
        <v>137</v>
      </c>
      <c r="Q6" s="147">
        <v>8</v>
      </c>
    </row>
    <row r="7" spans="1:17" ht="15.6" x14ac:dyDescent="0.3">
      <c r="A7" s="148" t="s">
        <v>132</v>
      </c>
      <c r="B7" s="149" t="s">
        <v>138</v>
      </c>
      <c r="C7" s="150" t="s">
        <v>139</v>
      </c>
      <c r="D7" s="151">
        <v>2500</v>
      </c>
      <c r="E7" s="151">
        <v>5</v>
      </c>
      <c r="F7" s="152">
        <f t="shared" si="0"/>
        <v>0.13888887499999999</v>
      </c>
      <c r="G7" s="142" t="s">
        <v>118</v>
      </c>
      <c r="H7" s="153" t="s">
        <v>128</v>
      </c>
      <c r="I7" s="150" t="s">
        <v>129</v>
      </c>
      <c r="J7" s="150" t="s">
        <v>130</v>
      </c>
      <c r="K7" s="150" t="s">
        <v>134</v>
      </c>
      <c r="L7" s="154" t="s">
        <v>140</v>
      </c>
      <c r="M7" s="155">
        <f t="shared" si="1"/>
        <v>0.44444439999999996</v>
      </c>
      <c r="N7" s="156"/>
      <c r="O7" s="145" t="s">
        <v>141</v>
      </c>
      <c r="P7" s="146"/>
      <c r="Q7" s="147">
        <v>0</v>
      </c>
    </row>
    <row r="8" spans="1:17" ht="16.2" thickBot="1" x14ac:dyDescent="0.35">
      <c r="A8" s="148" t="s">
        <v>138</v>
      </c>
      <c r="B8" s="149" t="s">
        <v>142</v>
      </c>
      <c r="C8" s="150" t="s">
        <v>143</v>
      </c>
      <c r="D8" s="151">
        <v>2500</v>
      </c>
      <c r="E8" s="151">
        <v>11</v>
      </c>
      <c r="F8" s="152">
        <f t="shared" si="0"/>
        <v>0.30555552499999999</v>
      </c>
      <c r="G8" s="142" t="s">
        <v>124</v>
      </c>
      <c r="H8" s="153" t="s">
        <v>128</v>
      </c>
      <c r="I8" s="150" t="s">
        <v>129</v>
      </c>
      <c r="J8" s="150" t="s">
        <v>130</v>
      </c>
      <c r="K8" s="150" t="s">
        <v>134</v>
      </c>
      <c r="L8" s="154" t="s">
        <v>144</v>
      </c>
      <c r="M8" s="155">
        <f t="shared" si="1"/>
        <v>0.97777767999999998</v>
      </c>
      <c r="N8" s="156"/>
      <c r="O8" s="158" t="s">
        <v>145</v>
      </c>
      <c r="P8" s="159"/>
      <c r="Q8" s="160">
        <f>Q6/60*45</f>
        <v>6</v>
      </c>
    </row>
    <row r="9" spans="1:17" ht="16.2" thickTop="1" x14ac:dyDescent="0.25">
      <c r="A9" s="148" t="s">
        <v>142</v>
      </c>
      <c r="B9" s="149" t="s">
        <v>146</v>
      </c>
      <c r="C9" s="150" t="s">
        <v>147</v>
      </c>
      <c r="D9" s="151">
        <v>2500</v>
      </c>
      <c r="E9" s="151">
        <v>5</v>
      </c>
      <c r="F9" s="152">
        <f t="shared" si="0"/>
        <v>0.13888887499999999</v>
      </c>
      <c r="G9" s="142" t="s">
        <v>124</v>
      </c>
      <c r="H9" s="153" t="s">
        <v>128</v>
      </c>
      <c r="I9" s="150" t="s">
        <v>129</v>
      </c>
      <c r="J9" s="150" t="s">
        <v>130</v>
      </c>
      <c r="K9" s="150" t="s">
        <v>148</v>
      </c>
      <c r="L9" s="154" t="s">
        <v>149</v>
      </c>
      <c r="M9" s="155">
        <f t="shared" si="1"/>
        <v>0.44444439999999996</v>
      </c>
      <c r="N9" s="156"/>
      <c r="O9" s="117"/>
      <c r="P9" s="117"/>
      <c r="Q9" s="117"/>
    </row>
    <row r="10" spans="1:17" ht="15.6" x14ac:dyDescent="0.25">
      <c r="A10" s="148" t="s">
        <v>146</v>
      </c>
      <c r="B10" s="149" t="s">
        <v>150</v>
      </c>
      <c r="C10" s="150" t="s">
        <v>151</v>
      </c>
      <c r="D10" s="151">
        <v>2500</v>
      </c>
      <c r="E10" s="151">
        <v>8</v>
      </c>
      <c r="F10" s="152">
        <f t="shared" si="0"/>
        <v>0.22222220000000001</v>
      </c>
      <c r="G10" s="142" t="s">
        <v>124</v>
      </c>
      <c r="H10" s="153" t="s">
        <v>128</v>
      </c>
      <c r="I10" s="150" t="s">
        <v>129</v>
      </c>
      <c r="J10" s="150" t="s">
        <v>130</v>
      </c>
      <c r="K10" s="150" t="s">
        <v>148</v>
      </c>
      <c r="L10" s="154" t="s">
        <v>152</v>
      </c>
      <c r="M10" s="155">
        <f t="shared" si="1"/>
        <v>0.71111104000000003</v>
      </c>
      <c r="N10" s="156"/>
      <c r="O10" s="119" t="s">
        <v>96</v>
      </c>
      <c r="P10" s="117"/>
      <c r="Q10" s="161"/>
    </row>
    <row r="11" spans="1:17" ht="15.6" x14ac:dyDescent="0.25">
      <c r="A11" s="148" t="s">
        <v>150</v>
      </c>
      <c r="B11" s="149" t="s">
        <v>153</v>
      </c>
      <c r="C11" s="150" t="s">
        <v>154</v>
      </c>
      <c r="D11" s="151">
        <v>2500</v>
      </c>
      <c r="E11" s="151">
        <v>13</v>
      </c>
      <c r="F11" s="152">
        <f t="shared" si="0"/>
        <v>0.361111075</v>
      </c>
      <c r="G11" s="142" t="s">
        <v>124</v>
      </c>
      <c r="H11" s="153" t="s">
        <v>128</v>
      </c>
      <c r="I11" s="150" t="s">
        <v>129</v>
      </c>
      <c r="J11" s="150" t="s">
        <v>130</v>
      </c>
      <c r="K11" s="150"/>
      <c r="L11" s="154"/>
      <c r="M11" s="155">
        <f t="shared" si="1"/>
        <v>1.1555554399999999</v>
      </c>
      <c r="N11" s="156"/>
      <c r="O11" s="119" t="s">
        <v>97</v>
      </c>
      <c r="P11" s="117"/>
      <c r="Q11" s="161"/>
    </row>
    <row r="12" spans="1:17" ht="16.2" thickBot="1" x14ac:dyDescent="0.3">
      <c r="A12" s="148" t="s">
        <v>153</v>
      </c>
      <c r="B12" s="149" t="s">
        <v>155</v>
      </c>
      <c r="C12" s="150" t="s">
        <v>123</v>
      </c>
      <c r="D12" s="151">
        <v>2500</v>
      </c>
      <c r="E12" s="151">
        <v>6</v>
      </c>
      <c r="F12" s="152">
        <f>E12*0.6666666/24</f>
        <v>0.16666665</v>
      </c>
      <c r="G12" s="142" t="s">
        <v>124</v>
      </c>
      <c r="H12" s="149" t="s">
        <v>155</v>
      </c>
      <c r="I12" s="150" t="s">
        <v>156</v>
      </c>
      <c r="J12" s="150" t="s">
        <v>157</v>
      </c>
      <c r="K12" s="150" t="s">
        <v>158</v>
      </c>
      <c r="L12" s="154" t="s">
        <v>123</v>
      </c>
      <c r="M12" s="155">
        <f t="shared" si="1"/>
        <v>0.53333328000000002</v>
      </c>
      <c r="N12" s="156"/>
      <c r="O12" s="119" t="s">
        <v>269</v>
      </c>
      <c r="P12" s="117"/>
      <c r="Q12" s="117"/>
    </row>
    <row r="13" spans="1:17" ht="16.8" thickTop="1" thickBot="1" x14ac:dyDescent="0.3">
      <c r="A13" s="162"/>
      <c r="B13" s="162"/>
      <c r="C13" s="162"/>
      <c r="D13" s="163" t="s">
        <v>3</v>
      </c>
      <c r="E13" s="164">
        <f>SUM(E3:E12)</f>
        <v>65</v>
      </c>
      <c r="F13" s="165">
        <f>SUM(F3:F12)</f>
        <v>1.8055553833333333</v>
      </c>
      <c r="G13" s="162"/>
      <c r="H13" s="162"/>
      <c r="I13" s="162"/>
      <c r="J13" s="162"/>
      <c r="K13" s="166" t="s">
        <v>159</v>
      </c>
      <c r="L13" s="162"/>
      <c r="M13" s="167">
        <f>SUM(M3:M12,$Q$3:$Q$5,$Q$7)</f>
        <v>7.8811105599999998</v>
      </c>
      <c r="N13" s="117"/>
      <c r="O13" s="119" t="s">
        <v>98</v>
      </c>
      <c r="P13" s="117"/>
      <c r="Q13" s="117"/>
    </row>
    <row r="14" spans="1:17" ht="16.8" thickTop="1" thickBot="1" x14ac:dyDescent="0.3">
      <c r="A14" s="117"/>
      <c r="B14" s="117"/>
      <c r="C14" s="117"/>
      <c r="D14" s="117"/>
      <c r="E14" s="117"/>
      <c r="F14" s="117"/>
      <c r="G14" s="156"/>
      <c r="H14" s="156"/>
      <c r="I14" s="117"/>
      <c r="J14" s="117"/>
      <c r="K14" s="168" t="s">
        <v>160</v>
      </c>
      <c r="L14" s="146"/>
      <c r="M14" s="169">
        <v>50</v>
      </c>
      <c r="N14" s="117"/>
      <c r="O14" s="119" t="s">
        <v>99</v>
      </c>
      <c r="P14" s="117"/>
      <c r="Q14" s="117"/>
    </row>
    <row r="15" spans="1:17" ht="16.8" thickTop="1" thickBot="1" x14ac:dyDescent="0.3">
      <c r="A15" s="117"/>
      <c r="B15" s="117"/>
      <c r="C15" s="156"/>
      <c r="D15" s="156"/>
      <c r="E15" s="156"/>
      <c r="F15" s="156"/>
      <c r="G15" s="156"/>
      <c r="H15" s="156"/>
      <c r="I15" s="117"/>
      <c r="J15" s="117"/>
      <c r="K15" s="166" t="s">
        <v>161</v>
      </c>
      <c r="L15" s="170"/>
      <c r="M15" s="167">
        <f>M14-M13</f>
        <v>42.118889440000004</v>
      </c>
      <c r="N15" s="117"/>
      <c r="O15" s="117"/>
      <c r="P15" s="117"/>
      <c r="Q15" s="117"/>
    </row>
    <row r="16" spans="1:17" ht="17.25" thickTop="1" thickBot="1" x14ac:dyDescent="0.25">
      <c r="A16" s="156"/>
      <c r="B16" s="171"/>
      <c r="C16" s="156"/>
      <c r="D16" s="156"/>
      <c r="E16" s="156"/>
      <c r="F16" s="156"/>
      <c r="G16" s="156"/>
      <c r="H16" s="156"/>
      <c r="I16" s="156"/>
      <c r="J16" s="156"/>
      <c r="K16" s="156"/>
      <c r="L16" s="156"/>
      <c r="M16" s="156"/>
      <c r="N16" s="117"/>
      <c r="O16" s="117"/>
      <c r="P16" s="117"/>
      <c r="Q16" s="117"/>
    </row>
    <row r="17" spans="1:17" ht="16.8" thickTop="1" thickBot="1" x14ac:dyDescent="0.3">
      <c r="A17" s="120" t="s">
        <v>0</v>
      </c>
      <c r="B17" s="121" t="s">
        <v>110</v>
      </c>
      <c r="C17" s="121" t="s">
        <v>100</v>
      </c>
      <c r="D17" s="121" t="s">
        <v>101</v>
      </c>
      <c r="E17" s="121" t="s">
        <v>102</v>
      </c>
      <c r="F17" s="121" t="s">
        <v>111</v>
      </c>
      <c r="G17" s="121" t="s">
        <v>103</v>
      </c>
      <c r="H17" s="121" t="s">
        <v>112</v>
      </c>
      <c r="I17" s="121" t="s">
        <v>105</v>
      </c>
      <c r="J17" s="121" t="s">
        <v>106</v>
      </c>
      <c r="K17" s="121" t="s">
        <v>107</v>
      </c>
      <c r="L17" s="122" t="s">
        <v>113</v>
      </c>
      <c r="M17" s="122" t="s">
        <v>114</v>
      </c>
      <c r="N17" s="117"/>
      <c r="O17" s="117"/>
      <c r="P17" s="117"/>
      <c r="Q17" s="117"/>
    </row>
    <row r="18" spans="1:17" ht="16.2" thickTop="1" x14ac:dyDescent="0.25">
      <c r="A18" s="172" t="s">
        <v>155</v>
      </c>
      <c r="B18" s="138" t="s">
        <v>153</v>
      </c>
      <c r="C18" s="139" t="s">
        <v>162</v>
      </c>
      <c r="D18" s="173">
        <v>3000</v>
      </c>
      <c r="E18" s="140">
        <v>6</v>
      </c>
      <c r="F18" s="152">
        <f t="shared" ref="F18:F28" si="2">E18*0.6666666/24</f>
        <v>0.16666665</v>
      </c>
      <c r="G18" s="131" t="s">
        <v>118</v>
      </c>
      <c r="H18" s="149" t="s">
        <v>155</v>
      </c>
      <c r="I18" s="150" t="s">
        <v>156</v>
      </c>
      <c r="J18" s="150" t="s">
        <v>157</v>
      </c>
      <c r="K18" s="150" t="s">
        <v>158</v>
      </c>
      <c r="L18" s="174" t="s">
        <v>162</v>
      </c>
      <c r="M18" s="175">
        <f t="shared" ref="M18:M28" si="3">$Q$6/60*F18*24</f>
        <v>0.53333328000000002</v>
      </c>
      <c r="N18" s="117"/>
      <c r="O18" s="117"/>
      <c r="P18" s="117"/>
      <c r="Q18" s="117"/>
    </row>
    <row r="19" spans="1:17" ht="15.6" x14ac:dyDescent="0.25">
      <c r="A19" s="172" t="s">
        <v>153</v>
      </c>
      <c r="B19" s="138" t="s">
        <v>150</v>
      </c>
      <c r="C19" s="139" t="s">
        <v>163</v>
      </c>
      <c r="D19" s="173">
        <v>3000</v>
      </c>
      <c r="E19" s="140">
        <v>13</v>
      </c>
      <c r="F19" s="152">
        <f t="shared" si="2"/>
        <v>0.361111075</v>
      </c>
      <c r="G19" s="142" t="s">
        <v>124</v>
      </c>
      <c r="H19" s="153" t="s">
        <v>128</v>
      </c>
      <c r="I19" s="150" t="s">
        <v>129</v>
      </c>
      <c r="J19" s="150" t="s">
        <v>130</v>
      </c>
      <c r="K19" s="139"/>
      <c r="L19" s="176"/>
      <c r="M19" s="175">
        <f t="shared" si="3"/>
        <v>1.1555554399999999</v>
      </c>
      <c r="N19" s="117"/>
      <c r="O19" s="117"/>
      <c r="P19" s="117"/>
      <c r="Q19" s="117"/>
    </row>
    <row r="20" spans="1:17" ht="15.6" x14ac:dyDescent="0.25">
      <c r="A20" s="172" t="s">
        <v>150</v>
      </c>
      <c r="B20" s="149" t="s">
        <v>146</v>
      </c>
      <c r="C20" s="150" t="s">
        <v>164</v>
      </c>
      <c r="D20" s="173">
        <v>3000</v>
      </c>
      <c r="E20" s="151">
        <v>8</v>
      </c>
      <c r="F20" s="152">
        <f t="shared" si="2"/>
        <v>0.22222220000000001</v>
      </c>
      <c r="G20" s="142" t="s">
        <v>124</v>
      </c>
      <c r="H20" s="153" t="s">
        <v>128</v>
      </c>
      <c r="I20" s="150" t="s">
        <v>129</v>
      </c>
      <c r="J20" s="150" t="s">
        <v>130</v>
      </c>
      <c r="K20" s="139"/>
      <c r="L20" s="177"/>
      <c r="M20" s="175">
        <f t="shared" si="3"/>
        <v>0.71111104000000003</v>
      </c>
      <c r="N20" s="117"/>
      <c r="O20" s="117"/>
      <c r="P20" s="117"/>
      <c r="Q20" s="117"/>
    </row>
    <row r="21" spans="1:17" ht="15.6" x14ac:dyDescent="0.25">
      <c r="A21" s="148" t="s">
        <v>146</v>
      </c>
      <c r="B21" s="149" t="s">
        <v>142</v>
      </c>
      <c r="C21" s="150" t="s">
        <v>165</v>
      </c>
      <c r="D21" s="178">
        <v>3000</v>
      </c>
      <c r="E21" s="151">
        <v>5</v>
      </c>
      <c r="F21" s="152">
        <f t="shared" si="2"/>
        <v>0.13888887499999999</v>
      </c>
      <c r="G21" s="142" t="s">
        <v>124</v>
      </c>
      <c r="H21" s="153" t="s">
        <v>128</v>
      </c>
      <c r="I21" s="150" t="s">
        <v>129</v>
      </c>
      <c r="J21" s="150" t="s">
        <v>130</v>
      </c>
      <c r="K21" s="150" t="s">
        <v>148</v>
      </c>
      <c r="L21" s="177" t="s">
        <v>152</v>
      </c>
      <c r="M21" s="175">
        <f t="shared" si="3"/>
        <v>0.44444439999999996</v>
      </c>
      <c r="N21" s="117"/>
      <c r="O21" s="117"/>
      <c r="P21" s="117"/>
      <c r="Q21" s="117"/>
    </row>
    <row r="22" spans="1:17" ht="15.6" x14ac:dyDescent="0.25">
      <c r="A22" s="148" t="s">
        <v>142</v>
      </c>
      <c r="B22" s="149" t="s">
        <v>138</v>
      </c>
      <c r="C22" s="150" t="s">
        <v>166</v>
      </c>
      <c r="D22" s="178">
        <v>3000</v>
      </c>
      <c r="E22" s="151">
        <v>11</v>
      </c>
      <c r="F22" s="152">
        <f t="shared" si="2"/>
        <v>0.30555552499999999</v>
      </c>
      <c r="G22" s="142" t="s">
        <v>124</v>
      </c>
      <c r="H22" s="153" t="s">
        <v>128</v>
      </c>
      <c r="I22" s="150" t="s">
        <v>129</v>
      </c>
      <c r="J22" s="150" t="s">
        <v>130</v>
      </c>
      <c r="K22" s="150" t="s">
        <v>148</v>
      </c>
      <c r="L22" s="177" t="s">
        <v>149</v>
      </c>
      <c r="M22" s="175">
        <f t="shared" si="3"/>
        <v>0.97777767999999998</v>
      </c>
      <c r="N22" s="117"/>
      <c r="O22" s="117"/>
      <c r="P22" s="117"/>
      <c r="Q22" s="117"/>
    </row>
    <row r="23" spans="1:17" ht="15.6" x14ac:dyDescent="0.25">
      <c r="A23" s="148" t="s">
        <v>138</v>
      </c>
      <c r="B23" s="149" t="s">
        <v>132</v>
      </c>
      <c r="C23" s="150" t="s">
        <v>167</v>
      </c>
      <c r="D23" s="178">
        <v>3000</v>
      </c>
      <c r="E23" s="151">
        <v>5</v>
      </c>
      <c r="F23" s="152">
        <f t="shared" si="2"/>
        <v>0.13888887499999999</v>
      </c>
      <c r="G23" s="142" t="s">
        <v>124</v>
      </c>
      <c r="H23" s="153" t="s">
        <v>128</v>
      </c>
      <c r="I23" s="150" t="s">
        <v>129</v>
      </c>
      <c r="J23" s="150" t="s">
        <v>130</v>
      </c>
      <c r="K23" s="150" t="s">
        <v>134</v>
      </c>
      <c r="L23" s="177" t="s">
        <v>144</v>
      </c>
      <c r="M23" s="175">
        <f t="shared" si="3"/>
        <v>0.44444439999999996</v>
      </c>
      <c r="N23" s="117"/>
      <c r="O23" s="117"/>
      <c r="P23" s="117"/>
      <c r="Q23" s="117"/>
    </row>
    <row r="24" spans="1:17" ht="15.6" x14ac:dyDescent="0.25">
      <c r="A24" s="148" t="s">
        <v>132</v>
      </c>
      <c r="B24" s="149" t="s">
        <v>168</v>
      </c>
      <c r="C24" s="150" t="s">
        <v>144</v>
      </c>
      <c r="D24" s="178">
        <v>1500</v>
      </c>
      <c r="E24" s="151">
        <v>8</v>
      </c>
      <c r="F24" s="152">
        <f t="shared" si="2"/>
        <v>0.22222220000000001</v>
      </c>
      <c r="G24" s="142" t="s">
        <v>169</v>
      </c>
      <c r="H24" s="153" t="s">
        <v>128</v>
      </c>
      <c r="I24" s="150" t="s">
        <v>129</v>
      </c>
      <c r="J24" s="150" t="s">
        <v>130</v>
      </c>
      <c r="K24" s="150" t="s">
        <v>134</v>
      </c>
      <c r="L24" s="177" t="s">
        <v>140</v>
      </c>
      <c r="M24" s="175">
        <f t="shared" si="3"/>
        <v>0.71111104000000003</v>
      </c>
      <c r="N24" s="117"/>
      <c r="O24" s="117"/>
      <c r="P24" s="117"/>
      <c r="Q24" s="117"/>
    </row>
    <row r="25" spans="1:17" ht="15.6" x14ac:dyDescent="0.25">
      <c r="A25" s="148" t="s">
        <v>168</v>
      </c>
      <c r="B25" s="149" t="s">
        <v>170</v>
      </c>
      <c r="C25" s="150" t="s">
        <v>171</v>
      </c>
      <c r="D25" s="178">
        <v>1500</v>
      </c>
      <c r="E25" s="151">
        <v>7</v>
      </c>
      <c r="F25" s="152">
        <f t="shared" si="2"/>
        <v>0.194444425</v>
      </c>
      <c r="G25" s="142" t="s">
        <v>124</v>
      </c>
      <c r="H25" s="153" t="s">
        <v>128</v>
      </c>
      <c r="I25" s="150" t="s">
        <v>129</v>
      </c>
      <c r="J25" s="150" t="s">
        <v>130</v>
      </c>
      <c r="K25" s="139"/>
      <c r="L25" s="177"/>
      <c r="M25" s="175">
        <f t="shared" si="3"/>
        <v>0.62222215999999997</v>
      </c>
      <c r="N25" s="117"/>
      <c r="O25" s="117"/>
      <c r="P25" s="117"/>
      <c r="Q25" s="117"/>
    </row>
    <row r="26" spans="1:17" ht="15.6" x14ac:dyDescent="0.25">
      <c r="A26" s="148" t="s">
        <v>170</v>
      </c>
      <c r="B26" s="149" t="s">
        <v>172</v>
      </c>
      <c r="C26" s="150" t="s">
        <v>173</v>
      </c>
      <c r="D26" s="178">
        <v>1500</v>
      </c>
      <c r="E26" s="151">
        <v>5</v>
      </c>
      <c r="F26" s="152">
        <f t="shared" si="2"/>
        <v>0.13888887499999999</v>
      </c>
      <c r="G26" s="142" t="s">
        <v>124</v>
      </c>
      <c r="H26" s="153" t="s">
        <v>128</v>
      </c>
      <c r="I26" s="150" t="s">
        <v>129</v>
      </c>
      <c r="J26" s="150" t="s">
        <v>130</v>
      </c>
      <c r="K26" s="139"/>
      <c r="L26" s="177"/>
      <c r="M26" s="179">
        <f t="shared" si="3"/>
        <v>0.44444439999999996</v>
      </c>
      <c r="N26" s="117"/>
      <c r="O26" s="117"/>
      <c r="P26" s="117"/>
      <c r="Q26" s="117"/>
    </row>
    <row r="27" spans="1:17" ht="15.6" x14ac:dyDescent="0.25">
      <c r="A27" s="148" t="s">
        <v>172</v>
      </c>
      <c r="B27" s="149" t="s">
        <v>174</v>
      </c>
      <c r="C27" s="150" t="s">
        <v>175</v>
      </c>
      <c r="D27" s="178">
        <v>1500</v>
      </c>
      <c r="E27" s="151">
        <v>3</v>
      </c>
      <c r="F27" s="152">
        <f t="shared" si="2"/>
        <v>8.3333325E-2</v>
      </c>
      <c r="G27" s="142" t="s">
        <v>124</v>
      </c>
      <c r="H27" s="153" t="s">
        <v>176</v>
      </c>
      <c r="I27" s="150" t="s">
        <v>177</v>
      </c>
      <c r="J27" s="150" t="s">
        <v>178</v>
      </c>
      <c r="K27" s="139"/>
      <c r="L27" s="177"/>
      <c r="M27" s="179">
        <f t="shared" si="3"/>
        <v>0.26666664000000001</v>
      </c>
      <c r="N27" s="117"/>
      <c r="O27" s="117"/>
      <c r="P27" s="117"/>
      <c r="Q27" s="117"/>
    </row>
    <row r="28" spans="1:17" ht="16.2" thickBot="1" x14ac:dyDescent="0.3">
      <c r="A28" s="148" t="s">
        <v>174</v>
      </c>
      <c r="B28" s="149" t="s">
        <v>176</v>
      </c>
      <c r="C28" s="150" t="s">
        <v>179</v>
      </c>
      <c r="D28" s="178">
        <v>1500</v>
      </c>
      <c r="E28" s="151">
        <v>4</v>
      </c>
      <c r="F28" s="152">
        <f t="shared" si="2"/>
        <v>0.1111111</v>
      </c>
      <c r="G28" s="142" t="s">
        <v>124</v>
      </c>
      <c r="H28" s="153" t="s">
        <v>176</v>
      </c>
      <c r="I28" s="150" t="s">
        <v>177</v>
      </c>
      <c r="J28" s="150" t="s">
        <v>178</v>
      </c>
      <c r="K28" s="139"/>
      <c r="L28" s="177"/>
      <c r="M28" s="179">
        <f t="shared" si="3"/>
        <v>0.35555552000000001</v>
      </c>
      <c r="N28" s="117"/>
      <c r="O28" s="117"/>
      <c r="P28" s="117"/>
      <c r="Q28" s="117"/>
    </row>
    <row r="29" spans="1:17" ht="16.8" thickTop="1" thickBot="1" x14ac:dyDescent="0.3">
      <c r="A29" s="180"/>
      <c r="B29" s="162"/>
      <c r="C29" s="162"/>
      <c r="D29" s="163" t="s">
        <v>3</v>
      </c>
      <c r="E29" s="164">
        <f>SUM(E18:E28)</f>
        <v>75</v>
      </c>
      <c r="F29" s="165">
        <f>SUM(F18:F28)</f>
        <v>2.0833331249999998</v>
      </c>
      <c r="G29" s="162"/>
      <c r="H29" s="162"/>
      <c r="I29" s="162"/>
      <c r="J29" s="162"/>
      <c r="K29" s="166" t="s">
        <v>159</v>
      </c>
      <c r="L29" s="162"/>
      <c r="M29" s="167">
        <f>SUM(M18:M28,$Q$3:$Q$5,$Q$7)</f>
        <v>8.7666660000000007</v>
      </c>
      <c r="N29" s="117"/>
      <c r="O29" s="117"/>
      <c r="P29" s="117"/>
      <c r="Q29" s="117"/>
    </row>
    <row r="30" spans="1:17" ht="16.8" thickTop="1" thickBot="1" x14ac:dyDescent="0.3">
      <c r="A30" s="156"/>
      <c r="B30" s="156"/>
      <c r="C30" s="156"/>
      <c r="D30" s="146"/>
      <c r="E30" s="146"/>
      <c r="F30" s="146"/>
      <c r="G30" s="156"/>
      <c r="H30" s="156"/>
      <c r="I30" s="156"/>
      <c r="J30" s="156"/>
      <c r="K30" s="168" t="s">
        <v>160</v>
      </c>
      <c r="L30" s="146"/>
      <c r="M30" s="181">
        <f>M15</f>
        <v>42.118889440000004</v>
      </c>
      <c r="N30" s="117"/>
      <c r="O30" s="117"/>
      <c r="P30" s="117"/>
      <c r="Q30" s="117"/>
    </row>
    <row r="31" spans="1:17" ht="16.8" thickTop="1" thickBot="1" x14ac:dyDescent="0.3">
      <c r="A31" s="156"/>
      <c r="B31" s="156"/>
      <c r="C31" s="156"/>
      <c r="D31" s="146"/>
      <c r="E31" s="146"/>
      <c r="F31" s="146"/>
      <c r="G31" s="156"/>
      <c r="H31" s="156"/>
      <c r="I31" s="156"/>
      <c r="J31" s="156"/>
      <c r="K31" s="166" t="s">
        <v>161</v>
      </c>
      <c r="L31" s="170"/>
      <c r="M31" s="167">
        <f>M30-M29</f>
        <v>33.352223440000003</v>
      </c>
      <c r="N31" s="117"/>
      <c r="O31" s="117"/>
      <c r="P31" s="117"/>
      <c r="Q31" s="117"/>
    </row>
    <row r="32" spans="1:17" ht="17.25" thickTop="1" thickBot="1" x14ac:dyDescent="0.25">
      <c r="A32" s="156"/>
      <c r="B32" s="156"/>
      <c r="C32" s="156"/>
      <c r="D32" s="146"/>
      <c r="E32" s="146"/>
      <c r="F32" s="146"/>
      <c r="G32" s="156"/>
      <c r="H32" s="156"/>
      <c r="I32" s="156"/>
      <c r="J32" s="156"/>
      <c r="K32" s="156"/>
      <c r="L32" s="156"/>
      <c r="M32" s="156"/>
      <c r="N32" s="117"/>
      <c r="O32" s="117"/>
      <c r="P32" s="117"/>
      <c r="Q32" s="117"/>
    </row>
    <row r="33" spans="1:17" ht="16.8" thickTop="1" thickBot="1" x14ac:dyDescent="0.3">
      <c r="A33" s="120" t="s">
        <v>0</v>
      </c>
      <c r="B33" s="121" t="s">
        <v>110</v>
      </c>
      <c r="C33" s="121" t="s">
        <v>100</v>
      </c>
      <c r="D33" s="121" t="s">
        <v>101</v>
      </c>
      <c r="E33" s="121" t="s">
        <v>102</v>
      </c>
      <c r="F33" s="121" t="s">
        <v>111</v>
      </c>
      <c r="G33" s="121" t="s">
        <v>103</v>
      </c>
      <c r="H33" s="121" t="s">
        <v>112</v>
      </c>
      <c r="I33" s="121" t="s">
        <v>105</v>
      </c>
      <c r="J33" s="121" t="s">
        <v>106</v>
      </c>
      <c r="K33" s="121" t="s">
        <v>107</v>
      </c>
      <c r="L33" s="122" t="s">
        <v>113</v>
      </c>
      <c r="M33" s="122" t="s">
        <v>114</v>
      </c>
      <c r="N33" s="117"/>
      <c r="O33" s="117"/>
      <c r="P33" s="117"/>
      <c r="Q33" s="117"/>
    </row>
    <row r="34" spans="1:17" ht="16.2" thickTop="1" x14ac:dyDescent="0.25">
      <c r="A34" s="172" t="s">
        <v>176</v>
      </c>
      <c r="B34" s="138" t="s">
        <v>174</v>
      </c>
      <c r="C34" s="139" t="s">
        <v>180</v>
      </c>
      <c r="D34" s="173" t="s">
        <v>181</v>
      </c>
      <c r="E34" s="140">
        <v>4</v>
      </c>
      <c r="F34" s="152">
        <f t="shared" ref="F34:F41" si="4">E34*0.6666666/24</f>
        <v>0.1111111</v>
      </c>
      <c r="G34" s="182" t="s">
        <v>118</v>
      </c>
      <c r="H34" s="149" t="s">
        <v>176</v>
      </c>
      <c r="I34" s="150" t="s">
        <v>177</v>
      </c>
      <c r="J34" s="150" t="s">
        <v>178</v>
      </c>
      <c r="K34" s="150"/>
      <c r="L34" s="176"/>
      <c r="M34" s="179">
        <f t="shared" ref="M34:M41" si="5">$Q$6/60*F34*24</f>
        <v>0.35555552000000001</v>
      </c>
      <c r="N34" s="117"/>
      <c r="O34" s="117"/>
      <c r="P34" s="117"/>
      <c r="Q34" s="183"/>
    </row>
    <row r="35" spans="1:17" ht="15.6" x14ac:dyDescent="0.25">
      <c r="A35" s="172" t="s">
        <v>174</v>
      </c>
      <c r="B35" s="138" t="s">
        <v>172</v>
      </c>
      <c r="C35" s="139" t="s">
        <v>175</v>
      </c>
      <c r="D35" s="173" t="s">
        <v>182</v>
      </c>
      <c r="E35" s="140">
        <v>3</v>
      </c>
      <c r="F35" s="152">
        <f t="shared" si="4"/>
        <v>8.3333325E-2</v>
      </c>
      <c r="G35" s="142" t="s">
        <v>118</v>
      </c>
      <c r="H35" s="153" t="s">
        <v>176</v>
      </c>
      <c r="I35" s="150" t="s">
        <v>177</v>
      </c>
      <c r="J35" s="150" t="s">
        <v>178</v>
      </c>
      <c r="K35" s="139"/>
      <c r="L35" s="176"/>
      <c r="M35" s="179">
        <f t="shared" si="5"/>
        <v>0.26666664000000001</v>
      </c>
      <c r="N35" s="117"/>
      <c r="O35" s="117"/>
      <c r="P35" s="117"/>
      <c r="Q35" s="117"/>
    </row>
    <row r="36" spans="1:17" ht="15.6" x14ac:dyDescent="0.25">
      <c r="A36" s="172" t="s">
        <v>172</v>
      </c>
      <c r="B36" s="149" t="s">
        <v>170</v>
      </c>
      <c r="C36" s="150" t="s">
        <v>183</v>
      </c>
      <c r="D36" s="173" t="s">
        <v>182</v>
      </c>
      <c r="E36" s="151">
        <v>5</v>
      </c>
      <c r="F36" s="152">
        <f t="shared" si="4"/>
        <v>0.13888887499999999</v>
      </c>
      <c r="G36" s="142" t="s">
        <v>124</v>
      </c>
      <c r="H36" s="153" t="s">
        <v>128</v>
      </c>
      <c r="I36" s="150" t="s">
        <v>129</v>
      </c>
      <c r="J36" s="150" t="s">
        <v>130</v>
      </c>
      <c r="K36" s="139"/>
      <c r="L36" s="177"/>
      <c r="M36" s="175">
        <f t="shared" si="5"/>
        <v>0.44444439999999996</v>
      </c>
      <c r="N36" s="117"/>
      <c r="O36" s="117"/>
      <c r="P36" s="117"/>
      <c r="Q36" s="117"/>
    </row>
    <row r="37" spans="1:17" ht="15.6" x14ac:dyDescent="0.25">
      <c r="A37" s="148" t="s">
        <v>170</v>
      </c>
      <c r="B37" s="149" t="s">
        <v>168</v>
      </c>
      <c r="C37" s="150" t="s">
        <v>184</v>
      </c>
      <c r="D37" s="178" t="s">
        <v>182</v>
      </c>
      <c r="E37" s="151">
        <v>7</v>
      </c>
      <c r="F37" s="152">
        <f t="shared" si="4"/>
        <v>0.194444425</v>
      </c>
      <c r="G37" s="142" t="s">
        <v>124</v>
      </c>
      <c r="H37" s="153" t="s">
        <v>128</v>
      </c>
      <c r="I37" s="150" t="s">
        <v>129</v>
      </c>
      <c r="J37" s="150" t="s">
        <v>130</v>
      </c>
      <c r="K37" s="150"/>
      <c r="L37" s="177"/>
      <c r="M37" s="175">
        <f t="shared" si="5"/>
        <v>0.62222215999999997</v>
      </c>
      <c r="N37" s="117"/>
      <c r="O37" s="117"/>
      <c r="P37" s="117"/>
      <c r="Q37" s="117"/>
    </row>
    <row r="38" spans="1:17" ht="15.6" x14ac:dyDescent="0.25">
      <c r="A38" s="148" t="s">
        <v>168</v>
      </c>
      <c r="B38" s="149" t="s">
        <v>132</v>
      </c>
      <c r="C38" s="150" t="s">
        <v>185</v>
      </c>
      <c r="D38" s="178" t="s">
        <v>182</v>
      </c>
      <c r="E38" s="151">
        <v>8</v>
      </c>
      <c r="F38" s="152">
        <f t="shared" si="4"/>
        <v>0.22222220000000001</v>
      </c>
      <c r="G38" s="142" t="s">
        <v>124</v>
      </c>
      <c r="H38" s="153" t="s">
        <v>128</v>
      </c>
      <c r="I38" s="150" t="s">
        <v>129</v>
      </c>
      <c r="J38" s="150" t="s">
        <v>130</v>
      </c>
      <c r="K38" s="150"/>
      <c r="L38" s="177"/>
      <c r="M38" s="175">
        <f t="shared" si="5"/>
        <v>0.71111104000000003</v>
      </c>
      <c r="N38" s="117"/>
      <c r="O38" s="117"/>
      <c r="P38" s="117"/>
      <c r="Q38" s="117"/>
    </row>
    <row r="39" spans="1:17" ht="15.6" x14ac:dyDescent="0.25">
      <c r="A39" s="148" t="s">
        <v>132</v>
      </c>
      <c r="B39" s="149" t="s">
        <v>186</v>
      </c>
      <c r="C39" s="150" t="s">
        <v>187</v>
      </c>
      <c r="D39" s="178" t="s">
        <v>182</v>
      </c>
      <c r="E39" s="151">
        <v>8</v>
      </c>
      <c r="F39" s="152">
        <f t="shared" si="4"/>
        <v>0.22222220000000001</v>
      </c>
      <c r="G39" s="142" t="s">
        <v>124</v>
      </c>
      <c r="H39" s="153" t="s">
        <v>128</v>
      </c>
      <c r="I39" s="150" t="s">
        <v>129</v>
      </c>
      <c r="J39" s="150" t="s">
        <v>130</v>
      </c>
      <c r="K39" s="150" t="s">
        <v>134</v>
      </c>
      <c r="L39" s="177" t="s">
        <v>140</v>
      </c>
      <c r="M39" s="175">
        <f t="shared" si="5"/>
        <v>0.71111104000000003</v>
      </c>
      <c r="N39" s="117"/>
      <c r="O39" s="117"/>
      <c r="P39" s="117"/>
      <c r="Q39" s="117"/>
    </row>
    <row r="40" spans="1:17" ht="15.6" x14ac:dyDescent="0.25">
      <c r="A40" s="148" t="s">
        <v>186</v>
      </c>
      <c r="B40" s="149" t="s">
        <v>95</v>
      </c>
      <c r="C40" s="150" t="s">
        <v>162</v>
      </c>
      <c r="D40" s="178" t="s">
        <v>182</v>
      </c>
      <c r="E40" s="151">
        <v>6</v>
      </c>
      <c r="F40" s="152">
        <f t="shared" si="4"/>
        <v>0.16666665</v>
      </c>
      <c r="G40" s="142" t="s">
        <v>124</v>
      </c>
      <c r="H40" s="153" t="s">
        <v>128</v>
      </c>
      <c r="I40" s="150" t="s">
        <v>129</v>
      </c>
      <c r="J40" s="150" t="s">
        <v>130</v>
      </c>
      <c r="K40" s="150" t="s">
        <v>134</v>
      </c>
      <c r="L40" s="177" t="s">
        <v>135</v>
      </c>
      <c r="M40" s="175">
        <f t="shared" si="5"/>
        <v>0.53333328000000002</v>
      </c>
      <c r="N40" s="117"/>
      <c r="O40" s="117"/>
      <c r="P40" s="117"/>
      <c r="Q40" s="117"/>
    </row>
    <row r="41" spans="1:17" ht="16.2" thickBot="1" x14ac:dyDescent="0.3">
      <c r="A41" s="148" t="s">
        <v>95</v>
      </c>
      <c r="B41" s="149" t="s">
        <v>94</v>
      </c>
      <c r="C41" s="150" t="s">
        <v>188</v>
      </c>
      <c r="D41" s="178" t="s">
        <v>189</v>
      </c>
      <c r="E41" s="151">
        <v>3</v>
      </c>
      <c r="F41" s="152">
        <f t="shared" si="4"/>
        <v>8.3333325E-2</v>
      </c>
      <c r="G41" s="142" t="s">
        <v>169</v>
      </c>
      <c r="H41" s="153" t="s">
        <v>94</v>
      </c>
      <c r="I41" s="150" t="s">
        <v>119</v>
      </c>
      <c r="J41" s="150" t="s">
        <v>120</v>
      </c>
      <c r="K41" s="139"/>
      <c r="L41" s="177"/>
      <c r="M41" s="175">
        <f t="shared" si="5"/>
        <v>0.26666664000000001</v>
      </c>
      <c r="N41" s="117"/>
      <c r="O41" s="117"/>
      <c r="P41" s="117"/>
      <c r="Q41" s="117"/>
    </row>
    <row r="42" spans="1:17" ht="16.8" thickTop="1" thickBot="1" x14ac:dyDescent="0.3">
      <c r="A42" s="180"/>
      <c r="B42" s="162"/>
      <c r="C42" s="162"/>
      <c r="D42" s="163" t="s">
        <v>3</v>
      </c>
      <c r="E42" s="164">
        <f>SUM(E34:E41)</f>
        <v>44</v>
      </c>
      <c r="F42" s="165">
        <f>SUM(F34:F41)</f>
        <v>1.2222221</v>
      </c>
      <c r="G42" s="162"/>
      <c r="H42" s="162"/>
      <c r="I42" s="162"/>
      <c r="J42" s="162"/>
      <c r="K42" s="166" t="s">
        <v>159</v>
      </c>
      <c r="L42" s="162"/>
      <c r="M42" s="167">
        <f>SUM(M34:M41,$Q$3:$Q$5,$Q$7)</f>
        <v>6.0111107199999996</v>
      </c>
      <c r="N42" s="117"/>
      <c r="O42" s="117"/>
      <c r="P42" s="117"/>
      <c r="Q42" s="117"/>
    </row>
    <row r="43" spans="1:17" ht="16.8" thickTop="1" thickBot="1" x14ac:dyDescent="0.3">
      <c r="A43" s="156"/>
      <c r="B43" s="156"/>
      <c r="C43" s="156"/>
      <c r="D43" s="146"/>
      <c r="E43" s="146"/>
      <c r="F43" s="146"/>
      <c r="G43" s="146"/>
      <c r="H43" s="156"/>
      <c r="I43" s="156"/>
      <c r="J43" s="156"/>
      <c r="K43" s="168" t="s">
        <v>160</v>
      </c>
      <c r="L43" s="146"/>
      <c r="M43" s="181">
        <f>M31</f>
        <v>33.352223440000003</v>
      </c>
      <c r="N43" s="117"/>
      <c r="O43" s="117"/>
      <c r="P43" s="117"/>
      <c r="Q43" s="117"/>
    </row>
    <row r="44" spans="1:17" ht="16.8" thickTop="1" thickBot="1" x14ac:dyDescent="0.3">
      <c r="A44" s="156"/>
      <c r="B44" s="156"/>
      <c r="C44" s="156"/>
      <c r="D44" s="146"/>
      <c r="E44" s="184" t="s">
        <v>190</v>
      </c>
      <c r="F44" s="290" t="s">
        <v>191</v>
      </c>
      <c r="G44" s="291"/>
      <c r="H44" s="185" t="s">
        <v>192</v>
      </c>
      <c r="I44" s="186" t="s">
        <v>193</v>
      </c>
      <c r="J44" s="117"/>
      <c r="K44" s="166" t="s">
        <v>161</v>
      </c>
      <c r="L44" s="170"/>
      <c r="M44" s="167">
        <f>M43-M42</f>
        <v>27.341112720000005</v>
      </c>
      <c r="N44" s="117"/>
      <c r="O44" s="117"/>
      <c r="P44" s="117"/>
      <c r="Q44" s="117"/>
    </row>
    <row r="45" spans="1:17" ht="16.8" thickTop="1" thickBot="1" x14ac:dyDescent="0.3">
      <c r="A45" s="117"/>
      <c r="B45" s="117"/>
      <c r="C45" s="117"/>
      <c r="D45" s="187" t="s">
        <v>194</v>
      </c>
      <c r="E45" s="188">
        <f>SUM(E13,E29,E42)</f>
        <v>184</v>
      </c>
      <c r="F45" s="288">
        <f>SUM(F13,F29,F42)/60</f>
        <v>8.5185176805555554E-2</v>
      </c>
      <c r="G45" s="289"/>
      <c r="H45" s="189">
        <f>SUM(M13,M29,M42)</f>
        <v>22.658887280000002</v>
      </c>
      <c r="I45" s="190">
        <f>SUM(H45,Q8)</f>
        <v>28.658887280000002</v>
      </c>
      <c r="J45" s="117"/>
      <c r="K45" s="117"/>
      <c r="L45" s="117"/>
      <c r="M45" s="117"/>
      <c r="N45" s="117"/>
      <c r="O45" s="117"/>
      <c r="P45" s="117"/>
      <c r="Q45" s="117"/>
    </row>
    <row r="46" spans="1:17" ht="16.2" thickTop="1" x14ac:dyDescent="0.25">
      <c r="A46" s="191" t="s">
        <v>195</v>
      </c>
      <c r="B46" s="117"/>
      <c r="C46" s="117"/>
      <c r="D46" s="117"/>
      <c r="E46" s="117"/>
      <c r="F46" s="117"/>
      <c r="G46" s="117"/>
      <c r="H46" s="117"/>
      <c r="I46" s="117"/>
      <c r="J46" s="117"/>
      <c r="K46" s="117"/>
      <c r="L46" s="117"/>
      <c r="M46" s="117"/>
      <c r="N46" s="117"/>
      <c r="O46" s="117"/>
      <c r="P46" s="117"/>
      <c r="Q46" s="117"/>
    </row>
    <row r="47" spans="1:17" ht="15.75" x14ac:dyDescent="0.2">
      <c r="A47" s="156"/>
      <c r="B47" s="117"/>
      <c r="C47" s="117"/>
      <c r="D47" s="117"/>
      <c r="E47" s="117"/>
      <c r="F47" s="117"/>
      <c r="G47" s="117"/>
      <c r="H47" s="117"/>
      <c r="I47" s="117"/>
      <c r="J47" s="117"/>
      <c r="K47" s="117"/>
      <c r="L47" s="117"/>
      <c r="M47" s="117"/>
      <c r="N47" s="117"/>
      <c r="O47" s="117"/>
      <c r="P47" s="117"/>
      <c r="Q47" s="117"/>
    </row>
    <row r="48" spans="1:17" ht="16.2" thickBot="1" x14ac:dyDescent="0.3">
      <c r="A48" s="117"/>
      <c r="B48" s="117"/>
      <c r="C48" s="117"/>
      <c r="D48" s="117"/>
      <c r="E48" s="117"/>
      <c r="F48" s="118" t="s">
        <v>196</v>
      </c>
      <c r="G48" s="117"/>
      <c r="H48" s="117"/>
      <c r="I48" s="117"/>
      <c r="J48" s="117"/>
      <c r="K48" s="117"/>
      <c r="L48" s="117"/>
      <c r="M48" s="117"/>
      <c r="N48" s="117"/>
      <c r="O48" s="117"/>
      <c r="P48" s="117"/>
      <c r="Q48" s="117"/>
    </row>
    <row r="49" spans="1:17" ht="16.8" thickTop="1" thickBot="1" x14ac:dyDescent="0.3">
      <c r="A49" s="120" t="s">
        <v>0</v>
      </c>
      <c r="B49" s="121" t="s">
        <v>110</v>
      </c>
      <c r="C49" s="121" t="s">
        <v>197</v>
      </c>
      <c r="D49" s="121" t="s">
        <v>198</v>
      </c>
      <c r="E49" s="121" t="s">
        <v>102</v>
      </c>
      <c r="F49" s="121" t="s">
        <v>111</v>
      </c>
      <c r="G49" s="121" t="s">
        <v>103</v>
      </c>
      <c r="H49" s="121" t="s">
        <v>112</v>
      </c>
      <c r="I49" s="121" t="s">
        <v>105</v>
      </c>
      <c r="J49" s="121" t="s">
        <v>106</v>
      </c>
      <c r="K49" s="121" t="s">
        <v>107</v>
      </c>
      <c r="L49" s="122" t="s">
        <v>113</v>
      </c>
      <c r="M49" s="122" t="s">
        <v>114</v>
      </c>
      <c r="N49" s="123"/>
      <c r="O49" s="124" t="s">
        <v>115</v>
      </c>
      <c r="P49" s="125" t="s">
        <v>116</v>
      </c>
      <c r="Q49" s="125"/>
    </row>
    <row r="50" spans="1:17" ht="16.2" thickTop="1" x14ac:dyDescent="0.3">
      <c r="A50" s="126" t="s">
        <v>94</v>
      </c>
      <c r="B50" s="127" t="s">
        <v>95</v>
      </c>
      <c r="C50" s="128" t="s">
        <v>117</v>
      </c>
      <c r="D50" s="129">
        <v>800</v>
      </c>
      <c r="E50" s="129">
        <v>3</v>
      </c>
      <c r="F50" s="130">
        <f>E50*0.6666666/24</f>
        <v>8.3333325E-2</v>
      </c>
      <c r="G50" s="131" t="s">
        <v>118</v>
      </c>
      <c r="H50" s="132" t="s">
        <v>94</v>
      </c>
      <c r="I50" s="128" t="s">
        <v>119</v>
      </c>
      <c r="J50" s="128" t="s">
        <v>120</v>
      </c>
      <c r="K50" s="128"/>
      <c r="L50" s="133"/>
      <c r="M50" s="134">
        <f>$Q$6/60*F50*24</f>
        <v>0.26666664000000001</v>
      </c>
      <c r="N50" s="123"/>
      <c r="O50" s="135" t="s">
        <v>121</v>
      </c>
      <c r="P50" s="136"/>
      <c r="Q50" s="137">
        <v>1.1000000000000001</v>
      </c>
    </row>
    <row r="51" spans="1:17" ht="15.6" x14ac:dyDescent="0.3">
      <c r="A51" s="172" t="s">
        <v>95</v>
      </c>
      <c r="B51" s="138" t="s">
        <v>122</v>
      </c>
      <c r="C51" s="139" t="s">
        <v>123</v>
      </c>
      <c r="D51" s="140">
        <v>800</v>
      </c>
      <c r="E51" s="140">
        <v>3</v>
      </c>
      <c r="F51" s="141">
        <v>8.3333333333333329E-2</v>
      </c>
      <c r="G51" s="142" t="s">
        <v>124</v>
      </c>
      <c r="H51" s="192" t="s">
        <v>94</v>
      </c>
      <c r="I51" s="139" t="s">
        <v>125</v>
      </c>
      <c r="J51" s="139" t="s">
        <v>126</v>
      </c>
      <c r="K51" s="139"/>
      <c r="L51" s="143"/>
      <c r="M51" s="144">
        <v>0.27</v>
      </c>
      <c r="N51" s="123"/>
      <c r="O51" s="145"/>
      <c r="P51" s="146"/>
      <c r="Q51" s="147"/>
    </row>
    <row r="52" spans="1:17" ht="15.6" x14ac:dyDescent="0.3">
      <c r="A52" s="148" t="s">
        <v>122</v>
      </c>
      <c r="B52" s="149" t="s">
        <v>127</v>
      </c>
      <c r="C52" s="150" t="s">
        <v>123</v>
      </c>
      <c r="D52" s="151">
        <v>1500</v>
      </c>
      <c r="E52" s="151">
        <v>3</v>
      </c>
      <c r="F52" s="152">
        <f t="shared" ref="F52:F58" si="6">E52*0.6666666/24</f>
        <v>8.3333325E-2</v>
      </c>
      <c r="G52" s="142" t="s">
        <v>118</v>
      </c>
      <c r="H52" s="153" t="s">
        <v>128</v>
      </c>
      <c r="I52" s="150" t="s">
        <v>284</v>
      </c>
      <c r="J52" s="150" t="s">
        <v>285</v>
      </c>
      <c r="K52" s="150"/>
      <c r="L52" s="154"/>
      <c r="M52" s="155">
        <f t="shared" ref="M52:M58" si="7">$Q$6/60*F52*24</f>
        <v>0.26666664000000001</v>
      </c>
      <c r="N52" s="156"/>
      <c r="O52" s="145" t="s">
        <v>131</v>
      </c>
      <c r="P52" s="157"/>
      <c r="Q52" s="147">
        <v>1</v>
      </c>
    </row>
    <row r="53" spans="1:17" ht="15.6" x14ac:dyDescent="0.3">
      <c r="A53" s="148" t="s">
        <v>127</v>
      </c>
      <c r="B53" s="149" t="s">
        <v>132</v>
      </c>
      <c r="C53" s="150" t="s">
        <v>133</v>
      </c>
      <c r="D53" s="151">
        <v>1500</v>
      </c>
      <c r="E53" s="151">
        <v>8</v>
      </c>
      <c r="F53" s="152">
        <f t="shared" si="6"/>
        <v>0.22222220000000001</v>
      </c>
      <c r="G53" s="142" t="s">
        <v>124</v>
      </c>
      <c r="H53" s="153" t="s">
        <v>128</v>
      </c>
      <c r="I53" s="150" t="s">
        <v>284</v>
      </c>
      <c r="J53" s="150" t="s">
        <v>285</v>
      </c>
      <c r="K53" s="150" t="s">
        <v>134</v>
      </c>
      <c r="L53" s="154" t="s">
        <v>135</v>
      </c>
      <c r="M53" s="155">
        <f t="shared" si="7"/>
        <v>0.71111104000000003</v>
      </c>
      <c r="N53" s="156"/>
      <c r="O53" s="145" t="s">
        <v>136</v>
      </c>
      <c r="P53" s="146" t="s">
        <v>137</v>
      </c>
      <c r="Q53" s="147">
        <v>8</v>
      </c>
    </row>
    <row r="54" spans="1:17" ht="15.6" x14ac:dyDescent="0.3">
      <c r="A54" s="148" t="s">
        <v>132</v>
      </c>
      <c r="B54" s="149" t="s">
        <v>168</v>
      </c>
      <c r="C54" s="150" t="s">
        <v>144</v>
      </c>
      <c r="D54" s="178">
        <v>1500</v>
      </c>
      <c r="E54" s="151">
        <v>8</v>
      </c>
      <c r="F54" s="152">
        <f t="shared" si="6"/>
        <v>0.22222220000000001</v>
      </c>
      <c r="G54" s="142" t="s">
        <v>124</v>
      </c>
      <c r="H54" s="153" t="s">
        <v>128</v>
      </c>
      <c r="I54" s="150" t="s">
        <v>284</v>
      </c>
      <c r="J54" s="150" t="s">
        <v>285</v>
      </c>
      <c r="K54" s="150" t="s">
        <v>134</v>
      </c>
      <c r="L54" s="177" t="s">
        <v>140</v>
      </c>
      <c r="M54" s="175">
        <f t="shared" si="7"/>
        <v>0.71111104000000003</v>
      </c>
      <c r="N54" s="156"/>
      <c r="O54" s="145" t="s">
        <v>141</v>
      </c>
      <c r="P54" s="146"/>
      <c r="Q54" s="147">
        <v>0</v>
      </c>
    </row>
    <row r="55" spans="1:17" ht="16.2" thickBot="1" x14ac:dyDescent="0.35">
      <c r="A55" s="148" t="s">
        <v>168</v>
      </c>
      <c r="B55" s="149" t="s">
        <v>170</v>
      </c>
      <c r="C55" s="150" t="s">
        <v>171</v>
      </c>
      <c r="D55" s="178">
        <v>1500</v>
      </c>
      <c r="E55" s="151">
        <v>7</v>
      </c>
      <c r="F55" s="152">
        <f t="shared" si="6"/>
        <v>0.194444425</v>
      </c>
      <c r="G55" s="142" t="s">
        <v>124</v>
      </c>
      <c r="H55" s="153" t="s">
        <v>128</v>
      </c>
      <c r="I55" s="150" t="s">
        <v>284</v>
      </c>
      <c r="J55" s="150" t="s">
        <v>285</v>
      </c>
      <c r="K55" s="139"/>
      <c r="L55" s="177"/>
      <c r="M55" s="175">
        <f t="shared" si="7"/>
        <v>0.62222215999999997</v>
      </c>
      <c r="N55" s="156"/>
      <c r="O55" s="158" t="s">
        <v>145</v>
      </c>
      <c r="P55" s="159"/>
      <c r="Q55" s="160">
        <f>Q53/60*45</f>
        <v>6</v>
      </c>
    </row>
    <row r="56" spans="1:17" ht="16.2" thickTop="1" x14ac:dyDescent="0.25">
      <c r="A56" s="148" t="s">
        <v>170</v>
      </c>
      <c r="B56" s="149" t="s">
        <v>172</v>
      </c>
      <c r="C56" s="150" t="s">
        <v>173</v>
      </c>
      <c r="D56" s="178">
        <v>1500</v>
      </c>
      <c r="E56" s="151">
        <v>5</v>
      </c>
      <c r="F56" s="152">
        <f t="shared" si="6"/>
        <v>0.13888887499999999</v>
      </c>
      <c r="G56" s="142" t="s">
        <v>124</v>
      </c>
      <c r="H56" s="153" t="s">
        <v>128</v>
      </c>
      <c r="I56" s="150" t="s">
        <v>284</v>
      </c>
      <c r="J56" s="150" t="s">
        <v>285</v>
      </c>
      <c r="K56" s="139"/>
      <c r="L56" s="177"/>
      <c r="M56" s="179">
        <f t="shared" si="7"/>
        <v>0.44444439999999996</v>
      </c>
      <c r="N56" s="156"/>
      <c r="O56" s="117"/>
      <c r="P56" s="117"/>
      <c r="Q56" s="117"/>
    </row>
    <row r="57" spans="1:17" ht="15.6" x14ac:dyDescent="0.25">
      <c r="A57" s="148" t="s">
        <v>172</v>
      </c>
      <c r="B57" s="149" t="s">
        <v>174</v>
      </c>
      <c r="C57" s="150" t="s">
        <v>175</v>
      </c>
      <c r="D57" s="178">
        <v>1500</v>
      </c>
      <c r="E57" s="151">
        <v>3</v>
      </c>
      <c r="F57" s="152">
        <f t="shared" si="6"/>
        <v>8.3333325E-2</v>
      </c>
      <c r="G57" s="142" t="s">
        <v>124</v>
      </c>
      <c r="H57" s="153" t="s">
        <v>176</v>
      </c>
      <c r="I57" s="150" t="s">
        <v>177</v>
      </c>
      <c r="J57" s="150" t="s">
        <v>178</v>
      </c>
      <c r="K57" s="139"/>
      <c r="L57" s="177"/>
      <c r="M57" s="179">
        <f t="shared" si="7"/>
        <v>0.26666664000000001</v>
      </c>
      <c r="N57" s="156"/>
      <c r="O57" s="117"/>
      <c r="P57" s="117"/>
      <c r="Q57" s="161"/>
    </row>
    <row r="58" spans="1:17" ht="16.2" thickBot="1" x14ac:dyDescent="0.3">
      <c r="A58" s="148" t="s">
        <v>174</v>
      </c>
      <c r="B58" s="149" t="s">
        <v>176</v>
      </c>
      <c r="C58" s="150" t="s">
        <v>179</v>
      </c>
      <c r="D58" s="178">
        <v>1500</v>
      </c>
      <c r="E58" s="151">
        <v>4</v>
      </c>
      <c r="F58" s="152">
        <f t="shared" si="6"/>
        <v>0.1111111</v>
      </c>
      <c r="G58" s="142" t="s">
        <v>124</v>
      </c>
      <c r="H58" s="153" t="s">
        <v>176</v>
      </c>
      <c r="I58" s="150" t="s">
        <v>177</v>
      </c>
      <c r="J58" s="150" t="s">
        <v>178</v>
      </c>
      <c r="K58" s="139"/>
      <c r="L58" s="177"/>
      <c r="M58" s="179">
        <f t="shared" si="7"/>
        <v>0.35555552000000001</v>
      </c>
      <c r="N58" s="156"/>
      <c r="O58" s="117"/>
      <c r="P58" s="117"/>
      <c r="Q58" s="161"/>
    </row>
    <row r="59" spans="1:17" ht="16.8" thickTop="1" thickBot="1" x14ac:dyDescent="0.3">
      <c r="A59" s="162"/>
      <c r="B59" s="162"/>
      <c r="C59" s="162"/>
      <c r="D59" s="163" t="s">
        <v>3</v>
      </c>
      <c r="E59" s="164">
        <f>SUM(E50:E58)</f>
        <v>44</v>
      </c>
      <c r="F59" s="165">
        <f>SUM(F50:F58)</f>
        <v>1.2222221083333333</v>
      </c>
      <c r="G59" s="162"/>
      <c r="H59" s="162"/>
      <c r="I59" s="162"/>
      <c r="J59" s="162"/>
      <c r="K59" s="166" t="s">
        <v>159</v>
      </c>
      <c r="L59" s="162"/>
      <c r="M59" s="167">
        <f>SUM(M50:M58,$Q$3:$Q$5,$Q$7)</f>
        <v>6.0144440800000005</v>
      </c>
      <c r="N59" s="117"/>
      <c r="O59" s="117"/>
      <c r="P59" s="117"/>
      <c r="Q59" s="117"/>
    </row>
    <row r="60" spans="1:17" ht="16.8" thickTop="1" thickBot="1" x14ac:dyDescent="0.3">
      <c r="A60" s="117"/>
      <c r="B60" s="117"/>
      <c r="C60" s="117"/>
      <c r="D60" s="117"/>
      <c r="E60" s="117"/>
      <c r="F60" s="117"/>
      <c r="G60" s="156"/>
      <c r="H60" s="156"/>
      <c r="I60" s="117"/>
      <c r="J60" s="117"/>
      <c r="K60" s="168" t="s">
        <v>160</v>
      </c>
      <c r="L60" s="146"/>
      <c r="M60" s="169">
        <v>32</v>
      </c>
      <c r="N60" s="117"/>
      <c r="O60" s="117"/>
      <c r="P60" s="117"/>
      <c r="Q60" s="117"/>
    </row>
    <row r="61" spans="1:17" ht="16.8" thickTop="1" thickBot="1" x14ac:dyDescent="0.3">
      <c r="A61" s="117"/>
      <c r="B61" s="117"/>
      <c r="C61" s="156"/>
      <c r="D61" s="156"/>
      <c r="E61" s="156"/>
      <c r="F61" s="156"/>
      <c r="G61" s="156"/>
      <c r="H61" s="156"/>
      <c r="I61" s="117"/>
      <c r="J61" s="117"/>
      <c r="K61" s="166" t="s">
        <v>161</v>
      </c>
      <c r="L61" s="170"/>
      <c r="M61" s="167">
        <f>M60-M59</f>
        <v>25.985555919999999</v>
      </c>
      <c r="N61" s="117"/>
      <c r="O61" s="117"/>
      <c r="P61" s="117"/>
      <c r="Q61" s="117"/>
    </row>
    <row r="62" spans="1:17" ht="16.8" thickTop="1" thickBot="1" x14ac:dyDescent="0.3">
      <c r="A62" s="156"/>
      <c r="B62" s="156"/>
      <c r="C62" s="156"/>
      <c r="D62" s="146"/>
      <c r="E62" s="146"/>
      <c r="F62" s="146"/>
      <c r="G62" s="156"/>
      <c r="H62" s="156"/>
      <c r="I62" s="156"/>
      <c r="J62" s="156"/>
      <c r="K62" s="156"/>
      <c r="L62" s="156"/>
      <c r="M62" s="156"/>
      <c r="N62" s="117"/>
      <c r="O62" s="117"/>
      <c r="P62" s="117"/>
      <c r="Q62" s="117"/>
    </row>
    <row r="63" spans="1:17" ht="16.8" thickTop="1" thickBot="1" x14ac:dyDescent="0.3">
      <c r="A63" s="120" t="s">
        <v>0</v>
      </c>
      <c r="B63" s="121" t="s">
        <v>110</v>
      </c>
      <c r="C63" s="121" t="s">
        <v>197</v>
      </c>
      <c r="D63" s="121" t="s">
        <v>198</v>
      </c>
      <c r="E63" s="121" t="s">
        <v>102</v>
      </c>
      <c r="F63" s="121" t="s">
        <v>111</v>
      </c>
      <c r="G63" s="121" t="s">
        <v>103</v>
      </c>
      <c r="H63" s="121" t="s">
        <v>112</v>
      </c>
      <c r="I63" s="121" t="s">
        <v>105</v>
      </c>
      <c r="J63" s="121" t="s">
        <v>106</v>
      </c>
      <c r="K63" s="121" t="s">
        <v>107</v>
      </c>
      <c r="L63" s="122" t="s">
        <v>113</v>
      </c>
      <c r="M63" s="122" t="s">
        <v>114</v>
      </c>
      <c r="N63" s="117"/>
      <c r="O63" s="117"/>
      <c r="P63" s="117"/>
      <c r="Q63" s="117"/>
    </row>
    <row r="64" spans="1:17" ht="16.2" thickTop="1" x14ac:dyDescent="0.25">
      <c r="A64" s="172" t="s">
        <v>176</v>
      </c>
      <c r="B64" s="138" t="s">
        <v>174</v>
      </c>
      <c r="C64" s="139" t="s">
        <v>180</v>
      </c>
      <c r="D64" s="173" t="s">
        <v>181</v>
      </c>
      <c r="E64" s="140">
        <v>4</v>
      </c>
      <c r="F64" s="152">
        <f t="shared" ref="F64:F71" si="8">E64*0.6666666/24</f>
        <v>0.1111111</v>
      </c>
      <c r="G64" s="182" t="s">
        <v>118</v>
      </c>
      <c r="H64" s="149" t="s">
        <v>176</v>
      </c>
      <c r="I64" s="150" t="s">
        <v>177</v>
      </c>
      <c r="J64" s="150" t="s">
        <v>178</v>
      </c>
      <c r="K64" s="150"/>
      <c r="L64" s="176"/>
      <c r="M64" s="179">
        <f t="shared" ref="M64:M71" si="9">$Q$6/60*F64*24</f>
        <v>0.35555552000000001</v>
      </c>
      <c r="N64" s="117"/>
      <c r="O64" s="117"/>
      <c r="P64" s="117"/>
      <c r="Q64" s="183"/>
    </row>
    <row r="65" spans="1:17" ht="15.6" x14ac:dyDescent="0.25">
      <c r="A65" s="172" t="s">
        <v>174</v>
      </c>
      <c r="B65" s="138" t="s">
        <v>172</v>
      </c>
      <c r="C65" s="139" t="s">
        <v>175</v>
      </c>
      <c r="D65" s="173" t="s">
        <v>182</v>
      </c>
      <c r="E65" s="140">
        <v>3</v>
      </c>
      <c r="F65" s="152">
        <f t="shared" si="8"/>
        <v>8.3333325E-2</v>
      </c>
      <c r="G65" s="142" t="s">
        <v>118</v>
      </c>
      <c r="H65" s="153" t="s">
        <v>176</v>
      </c>
      <c r="I65" s="150" t="s">
        <v>177</v>
      </c>
      <c r="J65" s="150" t="s">
        <v>178</v>
      </c>
      <c r="K65" s="139"/>
      <c r="L65" s="176"/>
      <c r="M65" s="179">
        <f t="shared" si="9"/>
        <v>0.26666664000000001</v>
      </c>
      <c r="N65" s="117"/>
      <c r="O65" s="117"/>
      <c r="P65" s="117"/>
      <c r="Q65" s="117"/>
    </row>
    <row r="66" spans="1:17" ht="15.6" x14ac:dyDescent="0.25">
      <c r="A66" s="172" t="s">
        <v>172</v>
      </c>
      <c r="B66" s="149" t="s">
        <v>170</v>
      </c>
      <c r="C66" s="150" t="s">
        <v>183</v>
      </c>
      <c r="D66" s="173" t="s">
        <v>182</v>
      </c>
      <c r="E66" s="151">
        <v>5</v>
      </c>
      <c r="F66" s="152">
        <f t="shared" si="8"/>
        <v>0.13888887499999999</v>
      </c>
      <c r="G66" s="142" t="s">
        <v>124</v>
      </c>
      <c r="H66" s="153" t="s">
        <v>128</v>
      </c>
      <c r="I66" s="150" t="s">
        <v>284</v>
      </c>
      <c r="J66" s="150" t="s">
        <v>285</v>
      </c>
      <c r="K66" s="139"/>
      <c r="L66" s="177"/>
      <c r="M66" s="175">
        <f t="shared" si="9"/>
        <v>0.44444439999999996</v>
      </c>
      <c r="N66" s="117"/>
      <c r="O66" s="117"/>
      <c r="P66" s="117"/>
      <c r="Q66" s="117"/>
    </row>
    <row r="67" spans="1:17" ht="15.6" x14ac:dyDescent="0.25">
      <c r="A67" s="148" t="s">
        <v>170</v>
      </c>
      <c r="B67" s="149" t="s">
        <v>168</v>
      </c>
      <c r="C67" s="150" t="s">
        <v>184</v>
      </c>
      <c r="D67" s="178" t="s">
        <v>182</v>
      </c>
      <c r="E67" s="151">
        <v>7</v>
      </c>
      <c r="F67" s="152">
        <f t="shared" si="8"/>
        <v>0.194444425</v>
      </c>
      <c r="G67" s="142" t="s">
        <v>124</v>
      </c>
      <c r="H67" s="153" t="s">
        <v>128</v>
      </c>
      <c r="I67" s="150" t="s">
        <v>284</v>
      </c>
      <c r="J67" s="150" t="s">
        <v>285</v>
      </c>
      <c r="K67" s="150"/>
      <c r="L67" s="177"/>
      <c r="M67" s="175">
        <f t="shared" si="9"/>
        <v>0.62222215999999997</v>
      </c>
      <c r="N67" s="117"/>
      <c r="O67" s="117"/>
      <c r="P67" s="117"/>
      <c r="Q67" s="117"/>
    </row>
    <row r="68" spans="1:17" ht="15.6" x14ac:dyDescent="0.25">
      <c r="A68" s="148" t="s">
        <v>168</v>
      </c>
      <c r="B68" s="149" t="s">
        <v>132</v>
      </c>
      <c r="C68" s="150" t="s">
        <v>185</v>
      </c>
      <c r="D68" s="178" t="s">
        <v>182</v>
      </c>
      <c r="E68" s="151">
        <v>8</v>
      </c>
      <c r="F68" s="152">
        <f t="shared" si="8"/>
        <v>0.22222220000000001</v>
      </c>
      <c r="G68" s="142" t="s">
        <v>124</v>
      </c>
      <c r="H68" s="153" t="s">
        <v>128</v>
      </c>
      <c r="I68" s="150" t="s">
        <v>284</v>
      </c>
      <c r="J68" s="150" t="s">
        <v>285</v>
      </c>
      <c r="K68" s="150"/>
      <c r="L68" s="177"/>
      <c r="M68" s="175">
        <f t="shared" si="9"/>
        <v>0.71111104000000003</v>
      </c>
      <c r="N68" s="117"/>
      <c r="O68" s="117"/>
      <c r="P68" s="117"/>
      <c r="Q68" s="117"/>
    </row>
    <row r="69" spans="1:17" ht="15.6" x14ac:dyDescent="0.25">
      <c r="A69" s="148" t="s">
        <v>132</v>
      </c>
      <c r="B69" s="149" t="s">
        <v>186</v>
      </c>
      <c r="C69" s="150" t="s">
        <v>187</v>
      </c>
      <c r="D69" s="178" t="s">
        <v>182</v>
      </c>
      <c r="E69" s="151">
        <v>8</v>
      </c>
      <c r="F69" s="152">
        <f t="shared" si="8"/>
        <v>0.22222220000000001</v>
      </c>
      <c r="G69" s="142" t="s">
        <v>124</v>
      </c>
      <c r="H69" s="153" t="s">
        <v>128</v>
      </c>
      <c r="I69" s="150" t="s">
        <v>284</v>
      </c>
      <c r="J69" s="150" t="s">
        <v>285</v>
      </c>
      <c r="K69" s="150" t="s">
        <v>134</v>
      </c>
      <c r="L69" s="177" t="s">
        <v>140</v>
      </c>
      <c r="M69" s="175">
        <f t="shared" si="9"/>
        <v>0.71111104000000003</v>
      </c>
      <c r="N69" s="117"/>
      <c r="O69" s="117"/>
      <c r="P69" s="117"/>
      <c r="Q69" s="117"/>
    </row>
    <row r="70" spans="1:17" ht="15.6" x14ac:dyDescent="0.25">
      <c r="A70" s="148" t="s">
        <v>186</v>
      </c>
      <c r="B70" s="149" t="s">
        <v>95</v>
      </c>
      <c r="C70" s="150" t="s">
        <v>162</v>
      </c>
      <c r="D70" s="178" t="s">
        <v>182</v>
      </c>
      <c r="E70" s="151">
        <v>6</v>
      </c>
      <c r="F70" s="152">
        <f t="shared" si="8"/>
        <v>0.16666665</v>
      </c>
      <c r="G70" s="142" t="s">
        <v>124</v>
      </c>
      <c r="H70" s="153" t="s">
        <v>128</v>
      </c>
      <c r="I70" s="150" t="s">
        <v>284</v>
      </c>
      <c r="J70" s="150" t="s">
        <v>285</v>
      </c>
      <c r="K70" s="150" t="s">
        <v>134</v>
      </c>
      <c r="L70" s="177" t="s">
        <v>135</v>
      </c>
      <c r="M70" s="175">
        <f t="shared" si="9"/>
        <v>0.53333328000000002</v>
      </c>
      <c r="N70" s="117"/>
      <c r="O70" s="117"/>
      <c r="P70" s="117"/>
      <c r="Q70" s="117"/>
    </row>
    <row r="71" spans="1:17" ht="16.2" thickBot="1" x14ac:dyDescent="0.3">
      <c r="A71" s="148" t="s">
        <v>95</v>
      </c>
      <c r="B71" s="149" t="s">
        <v>94</v>
      </c>
      <c r="C71" s="150" t="s">
        <v>188</v>
      </c>
      <c r="D71" s="178" t="s">
        <v>189</v>
      </c>
      <c r="E71" s="151">
        <v>3</v>
      </c>
      <c r="F71" s="152">
        <f t="shared" si="8"/>
        <v>8.3333325E-2</v>
      </c>
      <c r="G71" s="142" t="s">
        <v>169</v>
      </c>
      <c r="H71" s="153" t="s">
        <v>94</v>
      </c>
      <c r="I71" s="150" t="s">
        <v>119</v>
      </c>
      <c r="J71" s="150" t="s">
        <v>120</v>
      </c>
      <c r="K71" s="139"/>
      <c r="L71" s="177"/>
      <c r="M71" s="175">
        <f t="shared" si="9"/>
        <v>0.26666664000000001</v>
      </c>
      <c r="N71" s="117"/>
      <c r="O71" s="117"/>
      <c r="P71" s="117"/>
      <c r="Q71" s="117"/>
    </row>
    <row r="72" spans="1:17" ht="16.8" thickTop="1" thickBot="1" x14ac:dyDescent="0.3">
      <c r="A72" s="180"/>
      <c r="B72" s="162"/>
      <c r="C72" s="162"/>
      <c r="D72" s="163" t="s">
        <v>3</v>
      </c>
      <c r="E72" s="164">
        <f>SUM(E64:E71)</f>
        <v>44</v>
      </c>
      <c r="F72" s="165">
        <f>SUM(F64:F71)</f>
        <v>1.2222221</v>
      </c>
      <c r="G72" s="162"/>
      <c r="H72" s="162"/>
      <c r="I72" s="162"/>
      <c r="J72" s="162"/>
      <c r="K72" s="166" t="s">
        <v>159</v>
      </c>
      <c r="L72" s="162"/>
      <c r="M72" s="167">
        <f>SUM(M64:M71,$Q$3:$Q$5,$Q$7)</f>
        <v>6.0111107199999996</v>
      </c>
      <c r="N72" s="117"/>
      <c r="O72" s="117"/>
      <c r="P72" s="117"/>
      <c r="Q72" s="117"/>
    </row>
    <row r="73" spans="1:17" ht="16.8" thickTop="1" thickBot="1" x14ac:dyDescent="0.3">
      <c r="A73" s="156"/>
      <c r="B73" s="156"/>
      <c r="C73" s="156"/>
      <c r="D73" s="146"/>
      <c r="E73" s="146"/>
      <c r="F73" s="146"/>
      <c r="G73" s="146"/>
      <c r="H73" s="156"/>
      <c r="I73" s="156"/>
      <c r="J73" s="156"/>
      <c r="K73" s="168" t="s">
        <v>160</v>
      </c>
      <c r="L73" s="146"/>
      <c r="M73" s="181">
        <f>M61</f>
        <v>25.985555919999999</v>
      </c>
      <c r="N73" s="117"/>
      <c r="O73" s="117"/>
      <c r="P73" s="117"/>
      <c r="Q73" s="117"/>
    </row>
    <row r="74" spans="1:17" ht="16.8" thickTop="1" thickBot="1" x14ac:dyDescent="0.3">
      <c r="A74" s="156"/>
      <c r="B74" s="156"/>
      <c r="C74" s="156"/>
      <c r="D74" s="146"/>
      <c r="E74" s="184" t="s">
        <v>190</v>
      </c>
      <c r="F74" s="290" t="s">
        <v>191</v>
      </c>
      <c r="G74" s="291"/>
      <c r="H74" s="185" t="s">
        <v>192</v>
      </c>
      <c r="I74" s="186" t="s">
        <v>193</v>
      </c>
      <c r="J74" s="117"/>
      <c r="K74" s="166" t="s">
        <v>161</v>
      </c>
      <c r="L74" s="170"/>
      <c r="M74" s="167">
        <f>M73-M72</f>
        <v>19.974445199999998</v>
      </c>
      <c r="N74" s="117"/>
      <c r="O74" s="117"/>
      <c r="P74" s="117"/>
      <c r="Q74" s="117"/>
    </row>
    <row r="75" spans="1:17" ht="16.8" thickTop="1" thickBot="1" x14ac:dyDescent="0.3">
      <c r="A75" s="117"/>
      <c r="B75" s="117"/>
      <c r="C75" s="117"/>
      <c r="D75" s="187" t="s">
        <v>194</v>
      </c>
      <c r="E75" s="188">
        <f>SUM(E59,E72)</f>
        <v>88</v>
      </c>
      <c r="F75" s="288">
        <f>SUM(F59,F72)/60</f>
        <v>4.0740736805555559E-2</v>
      </c>
      <c r="G75" s="289"/>
      <c r="H75" s="189">
        <f>SUM(M59,M72)</f>
        <v>12.0255548</v>
      </c>
      <c r="I75" s="190">
        <f>SUM(H75,Q55)</f>
        <v>18.025554800000002</v>
      </c>
      <c r="J75" s="117"/>
      <c r="K75" s="117"/>
      <c r="L75" s="117"/>
      <c r="M75" s="117"/>
      <c r="N75" s="117"/>
      <c r="O75" s="117"/>
      <c r="P75" s="117"/>
      <c r="Q75" s="117"/>
    </row>
    <row r="76" spans="1:17" ht="16.2" thickTop="1" x14ac:dyDescent="0.25">
      <c r="A76" s="191" t="s">
        <v>195</v>
      </c>
      <c r="B76" s="117"/>
      <c r="C76" s="117"/>
      <c r="D76" s="117"/>
      <c r="E76" s="117"/>
      <c r="F76" s="117"/>
      <c r="G76" s="117"/>
      <c r="H76" s="117"/>
      <c r="I76" s="117"/>
      <c r="J76" s="117"/>
      <c r="K76" s="117"/>
      <c r="L76" s="117"/>
      <c r="M76" s="117"/>
      <c r="N76" s="117"/>
      <c r="O76" s="117"/>
      <c r="P76" s="117"/>
      <c r="Q76" s="117"/>
    </row>
    <row r="77" spans="1:17" ht="15.6" x14ac:dyDescent="0.25">
      <c r="A77" s="156"/>
      <c r="B77" s="117"/>
      <c r="C77" s="117"/>
      <c r="D77" s="117"/>
      <c r="E77" s="117"/>
      <c r="F77" s="117"/>
      <c r="G77" s="117"/>
      <c r="H77" s="117"/>
      <c r="I77" s="117"/>
      <c r="J77" s="117"/>
      <c r="K77" s="117"/>
      <c r="L77" s="117"/>
      <c r="M77" s="117"/>
      <c r="N77" s="117"/>
      <c r="O77" s="117"/>
      <c r="P77" s="117"/>
      <c r="Q77" s="117"/>
    </row>
    <row r="78" spans="1:17" ht="16.2" thickBot="1" x14ac:dyDescent="0.3">
      <c r="A78" s="117"/>
      <c r="B78" s="117"/>
      <c r="C78" s="117"/>
      <c r="D78" s="117"/>
      <c r="E78" s="117"/>
      <c r="F78" s="118" t="s">
        <v>199</v>
      </c>
      <c r="G78" s="117"/>
      <c r="H78" s="117"/>
      <c r="I78" s="117"/>
      <c r="J78" s="117"/>
      <c r="K78" s="117"/>
      <c r="L78" s="117"/>
      <c r="M78" s="117"/>
      <c r="N78" s="117"/>
      <c r="O78" s="117"/>
      <c r="P78" s="117"/>
      <c r="Q78" s="117"/>
    </row>
    <row r="79" spans="1:17" ht="16.8" thickTop="1" thickBot="1" x14ac:dyDescent="0.3">
      <c r="A79" s="120" t="s">
        <v>0</v>
      </c>
      <c r="B79" s="121" t="s">
        <v>110</v>
      </c>
      <c r="C79" s="121" t="s">
        <v>100</v>
      </c>
      <c r="D79" s="121" t="s">
        <v>101</v>
      </c>
      <c r="E79" s="121" t="s">
        <v>102</v>
      </c>
      <c r="F79" s="121" t="s">
        <v>111</v>
      </c>
      <c r="G79" s="121" t="s">
        <v>103</v>
      </c>
      <c r="H79" s="121" t="s">
        <v>112</v>
      </c>
      <c r="I79" s="121" t="s">
        <v>105</v>
      </c>
      <c r="J79" s="121" t="s">
        <v>106</v>
      </c>
      <c r="K79" s="121" t="s">
        <v>107</v>
      </c>
      <c r="L79" s="122" t="s">
        <v>113</v>
      </c>
      <c r="M79" s="122" t="s">
        <v>114</v>
      </c>
      <c r="N79" s="123"/>
      <c r="O79" s="124" t="s">
        <v>115</v>
      </c>
      <c r="P79" s="125" t="s">
        <v>116</v>
      </c>
      <c r="Q79" s="125"/>
    </row>
    <row r="80" spans="1:17" ht="16.2" thickTop="1" x14ac:dyDescent="0.3">
      <c r="A80" s="126" t="s">
        <v>94</v>
      </c>
      <c r="B80" s="127" t="s">
        <v>95</v>
      </c>
      <c r="C80" s="128" t="s">
        <v>117</v>
      </c>
      <c r="D80" s="129">
        <v>800</v>
      </c>
      <c r="E80" s="129">
        <v>3</v>
      </c>
      <c r="F80" s="130">
        <f t="shared" ref="F80:F89" si="10">E80*0.6666666/24</f>
        <v>8.3333325E-2</v>
      </c>
      <c r="G80" s="131" t="s">
        <v>118</v>
      </c>
      <c r="H80" s="132" t="s">
        <v>94</v>
      </c>
      <c r="I80" s="128" t="s">
        <v>119</v>
      </c>
      <c r="J80" s="128" t="s">
        <v>120</v>
      </c>
      <c r="K80" s="128"/>
      <c r="L80" s="133"/>
      <c r="M80" s="134">
        <f>$Q$6/60*F80*24</f>
        <v>0.26666664000000001</v>
      </c>
      <c r="N80" s="123"/>
      <c r="O80" s="135" t="s">
        <v>121</v>
      </c>
      <c r="P80" s="136"/>
      <c r="Q80" s="137">
        <v>1.1000000000000001</v>
      </c>
    </row>
    <row r="81" spans="1:17" ht="15.6" x14ac:dyDescent="0.3">
      <c r="A81" s="172" t="s">
        <v>95</v>
      </c>
      <c r="B81" s="138" t="s">
        <v>122</v>
      </c>
      <c r="C81" s="139" t="s">
        <v>123</v>
      </c>
      <c r="D81" s="140">
        <v>800</v>
      </c>
      <c r="E81" s="140">
        <v>3</v>
      </c>
      <c r="F81" s="141">
        <v>8.3333333333333329E-2</v>
      </c>
      <c r="G81" s="142" t="s">
        <v>124</v>
      </c>
      <c r="H81" s="192" t="s">
        <v>94</v>
      </c>
      <c r="I81" s="139" t="s">
        <v>119</v>
      </c>
      <c r="J81" s="139" t="s">
        <v>126</v>
      </c>
      <c r="K81" s="139"/>
      <c r="L81" s="143"/>
      <c r="M81" s="144">
        <v>0.27</v>
      </c>
      <c r="N81" s="123"/>
      <c r="O81" s="145"/>
      <c r="P81" s="146"/>
      <c r="Q81" s="147"/>
    </row>
    <row r="82" spans="1:17" ht="15.6" x14ac:dyDescent="0.3">
      <c r="A82" s="148" t="s">
        <v>122</v>
      </c>
      <c r="B82" s="149" t="s">
        <v>127</v>
      </c>
      <c r="C82" s="150" t="s">
        <v>123</v>
      </c>
      <c r="D82" s="151">
        <v>1500</v>
      </c>
      <c r="E82" s="151">
        <v>3</v>
      </c>
      <c r="F82" s="152">
        <f t="shared" si="10"/>
        <v>8.3333325E-2</v>
      </c>
      <c r="G82" s="142" t="s">
        <v>118</v>
      </c>
      <c r="H82" s="153" t="s">
        <v>128</v>
      </c>
      <c r="I82" s="150" t="s">
        <v>129</v>
      </c>
      <c r="J82" s="150" t="s">
        <v>130</v>
      </c>
      <c r="K82" s="150"/>
      <c r="L82" s="154"/>
      <c r="M82" s="155">
        <f t="shared" ref="M82:M89" si="11">$Q$6/60*F82*24</f>
        <v>0.26666664000000001</v>
      </c>
      <c r="N82" s="156"/>
      <c r="O82" s="145" t="s">
        <v>131</v>
      </c>
      <c r="P82" s="157"/>
      <c r="Q82" s="147">
        <v>1</v>
      </c>
    </row>
    <row r="83" spans="1:17" ht="15.6" x14ac:dyDescent="0.3">
      <c r="A83" s="148" t="s">
        <v>127</v>
      </c>
      <c r="B83" s="149" t="s">
        <v>132</v>
      </c>
      <c r="C83" s="150" t="s">
        <v>133</v>
      </c>
      <c r="D83" s="151">
        <v>1500</v>
      </c>
      <c r="E83" s="151">
        <v>8</v>
      </c>
      <c r="F83" s="152">
        <f t="shared" si="10"/>
        <v>0.22222220000000001</v>
      </c>
      <c r="G83" s="142" t="s">
        <v>124</v>
      </c>
      <c r="H83" s="153" t="s">
        <v>128</v>
      </c>
      <c r="I83" s="150" t="s">
        <v>129</v>
      </c>
      <c r="J83" s="150" t="s">
        <v>130</v>
      </c>
      <c r="K83" s="150" t="s">
        <v>134</v>
      </c>
      <c r="L83" s="154" t="s">
        <v>135</v>
      </c>
      <c r="M83" s="155">
        <f t="shared" si="11"/>
        <v>0.71111104000000003</v>
      </c>
      <c r="N83" s="156"/>
      <c r="O83" s="145" t="s">
        <v>136</v>
      </c>
      <c r="P83" s="146" t="s">
        <v>137</v>
      </c>
      <c r="Q83" s="147">
        <v>8</v>
      </c>
    </row>
    <row r="84" spans="1:17" ht="15.6" x14ac:dyDescent="0.3">
      <c r="A84" s="148" t="s">
        <v>132</v>
      </c>
      <c r="B84" s="149" t="s">
        <v>138</v>
      </c>
      <c r="C84" s="150" t="s">
        <v>139</v>
      </c>
      <c r="D84" s="151">
        <v>2500</v>
      </c>
      <c r="E84" s="151">
        <v>5</v>
      </c>
      <c r="F84" s="152">
        <f t="shared" si="10"/>
        <v>0.13888887499999999</v>
      </c>
      <c r="G84" s="142" t="s">
        <v>118</v>
      </c>
      <c r="H84" s="153" t="s">
        <v>128</v>
      </c>
      <c r="I84" s="150" t="s">
        <v>129</v>
      </c>
      <c r="J84" s="150" t="s">
        <v>130</v>
      </c>
      <c r="K84" s="150" t="s">
        <v>134</v>
      </c>
      <c r="L84" s="154" t="s">
        <v>140</v>
      </c>
      <c r="M84" s="155">
        <f t="shared" si="11"/>
        <v>0.44444439999999996</v>
      </c>
      <c r="N84" s="156"/>
      <c r="O84" s="145" t="s">
        <v>141</v>
      </c>
      <c r="P84" s="146"/>
      <c r="Q84" s="147">
        <v>0</v>
      </c>
    </row>
    <row r="85" spans="1:17" ht="16.2" thickBot="1" x14ac:dyDescent="0.35">
      <c r="A85" s="148" t="s">
        <v>138</v>
      </c>
      <c r="B85" s="149" t="s">
        <v>142</v>
      </c>
      <c r="C85" s="150" t="s">
        <v>143</v>
      </c>
      <c r="D85" s="151">
        <v>2500</v>
      </c>
      <c r="E85" s="151">
        <v>11</v>
      </c>
      <c r="F85" s="152">
        <f t="shared" si="10"/>
        <v>0.30555552499999999</v>
      </c>
      <c r="G85" s="142" t="s">
        <v>124</v>
      </c>
      <c r="H85" s="153" t="s">
        <v>128</v>
      </c>
      <c r="I85" s="150" t="s">
        <v>129</v>
      </c>
      <c r="J85" s="150" t="s">
        <v>130</v>
      </c>
      <c r="K85" s="150" t="s">
        <v>134</v>
      </c>
      <c r="L85" s="154" t="s">
        <v>144</v>
      </c>
      <c r="M85" s="155">
        <f t="shared" si="11"/>
        <v>0.97777767999999998</v>
      </c>
      <c r="N85" s="156"/>
      <c r="O85" s="158" t="s">
        <v>145</v>
      </c>
      <c r="P85" s="159"/>
      <c r="Q85" s="160">
        <f>Q83/60*45</f>
        <v>6</v>
      </c>
    </row>
    <row r="86" spans="1:17" ht="16.2" thickTop="1" x14ac:dyDescent="0.25">
      <c r="A86" s="148" t="s">
        <v>142</v>
      </c>
      <c r="B86" s="149" t="s">
        <v>146</v>
      </c>
      <c r="C86" s="150" t="s">
        <v>147</v>
      </c>
      <c r="D86" s="151">
        <v>2500</v>
      </c>
      <c r="E86" s="151">
        <v>5</v>
      </c>
      <c r="F86" s="152">
        <f t="shared" si="10"/>
        <v>0.13888887499999999</v>
      </c>
      <c r="G86" s="142" t="s">
        <v>124</v>
      </c>
      <c r="H86" s="153" t="s">
        <v>128</v>
      </c>
      <c r="I86" s="150" t="s">
        <v>129</v>
      </c>
      <c r="J86" s="150" t="s">
        <v>130</v>
      </c>
      <c r="K86" s="150" t="s">
        <v>148</v>
      </c>
      <c r="L86" s="154" t="s">
        <v>149</v>
      </c>
      <c r="M86" s="155">
        <f t="shared" si="11"/>
        <v>0.44444439999999996</v>
      </c>
      <c r="N86" s="156"/>
      <c r="O86" s="117"/>
      <c r="P86" s="117"/>
      <c r="Q86" s="117"/>
    </row>
    <row r="87" spans="1:17" ht="15.6" x14ac:dyDescent="0.25">
      <c r="A87" s="148" t="s">
        <v>146</v>
      </c>
      <c r="B87" s="149" t="s">
        <v>150</v>
      </c>
      <c r="C87" s="150" t="s">
        <v>151</v>
      </c>
      <c r="D87" s="151">
        <v>2500</v>
      </c>
      <c r="E87" s="151">
        <v>8</v>
      </c>
      <c r="F87" s="152">
        <f t="shared" si="10"/>
        <v>0.22222220000000001</v>
      </c>
      <c r="G87" s="142" t="s">
        <v>124</v>
      </c>
      <c r="H87" s="153" t="s">
        <v>128</v>
      </c>
      <c r="I87" s="150" t="s">
        <v>129</v>
      </c>
      <c r="J87" s="150" t="s">
        <v>130</v>
      </c>
      <c r="K87" s="150" t="s">
        <v>148</v>
      </c>
      <c r="L87" s="154" t="s">
        <v>152</v>
      </c>
      <c r="M87" s="155">
        <f t="shared" si="11"/>
        <v>0.71111104000000003</v>
      </c>
      <c r="N87" s="156"/>
      <c r="O87" s="117"/>
      <c r="P87" s="117"/>
      <c r="Q87" s="161"/>
    </row>
    <row r="88" spans="1:17" ht="15.6" x14ac:dyDescent="0.25">
      <c r="A88" s="148" t="s">
        <v>150</v>
      </c>
      <c r="B88" s="149" t="s">
        <v>153</v>
      </c>
      <c r="C88" s="150" t="s">
        <v>154</v>
      </c>
      <c r="D88" s="151">
        <v>2500</v>
      </c>
      <c r="E88" s="151">
        <v>13</v>
      </c>
      <c r="F88" s="152">
        <f t="shared" si="10"/>
        <v>0.361111075</v>
      </c>
      <c r="G88" s="142" t="s">
        <v>124</v>
      </c>
      <c r="H88" s="153" t="s">
        <v>128</v>
      </c>
      <c r="I88" s="150" t="s">
        <v>129</v>
      </c>
      <c r="J88" s="150" t="s">
        <v>130</v>
      </c>
      <c r="K88" s="150"/>
      <c r="L88" s="154"/>
      <c r="M88" s="155">
        <f t="shared" si="11"/>
        <v>1.1555554399999999</v>
      </c>
      <c r="N88" s="156"/>
      <c r="O88" s="117"/>
      <c r="P88" s="117"/>
      <c r="Q88" s="161"/>
    </row>
    <row r="89" spans="1:17" ht="16.2" thickBot="1" x14ac:dyDescent="0.3">
      <c r="A89" s="148" t="s">
        <v>153</v>
      </c>
      <c r="B89" s="149" t="s">
        <v>155</v>
      </c>
      <c r="C89" s="150" t="s">
        <v>123</v>
      </c>
      <c r="D89" s="151">
        <v>2500</v>
      </c>
      <c r="E89" s="151">
        <v>6</v>
      </c>
      <c r="F89" s="152">
        <f t="shared" si="10"/>
        <v>0.16666665</v>
      </c>
      <c r="G89" s="142" t="s">
        <v>124</v>
      </c>
      <c r="H89" s="149" t="s">
        <v>155</v>
      </c>
      <c r="I89" s="150" t="s">
        <v>156</v>
      </c>
      <c r="J89" s="150" t="s">
        <v>157</v>
      </c>
      <c r="K89" s="150" t="s">
        <v>158</v>
      </c>
      <c r="L89" s="154" t="s">
        <v>123</v>
      </c>
      <c r="M89" s="155">
        <f t="shared" si="11"/>
        <v>0.53333328000000002</v>
      </c>
      <c r="N89" s="156"/>
      <c r="O89" s="117"/>
      <c r="P89" s="117"/>
      <c r="Q89" s="117"/>
    </row>
    <row r="90" spans="1:17" ht="16.8" thickTop="1" thickBot="1" x14ac:dyDescent="0.3">
      <c r="A90" s="162"/>
      <c r="B90" s="162"/>
      <c r="C90" s="162"/>
      <c r="D90" s="163" t="s">
        <v>3</v>
      </c>
      <c r="E90" s="164">
        <f>SUM(E80:E89)</f>
        <v>65</v>
      </c>
      <c r="F90" s="165">
        <f>SUM(F80:F89)</f>
        <v>1.8055553833333333</v>
      </c>
      <c r="G90" s="162"/>
      <c r="H90" s="162"/>
      <c r="I90" s="162"/>
      <c r="J90" s="162"/>
      <c r="K90" s="166" t="s">
        <v>159</v>
      </c>
      <c r="L90" s="162"/>
      <c r="M90" s="167">
        <f>SUM(M80:M89,$Q$3:$Q$5,$Q$7)</f>
        <v>7.8811105599999998</v>
      </c>
      <c r="N90" s="117"/>
      <c r="O90" s="117"/>
      <c r="P90" s="117"/>
      <c r="Q90" s="117"/>
    </row>
    <row r="91" spans="1:17" ht="16.8" thickTop="1" thickBot="1" x14ac:dyDescent="0.3">
      <c r="A91" s="117"/>
      <c r="B91" s="117"/>
      <c r="C91" s="117"/>
      <c r="D91" s="117"/>
      <c r="E91" s="117"/>
      <c r="F91" s="117"/>
      <c r="G91" s="156"/>
      <c r="H91" s="156"/>
      <c r="I91" s="117"/>
      <c r="J91" s="117"/>
      <c r="K91" s="168" t="s">
        <v>160</v>
      </c>
      <c r="L91" s="146"/>
      <c r="M91" s="169">
        <v>24.5</v>
      </c>
      <c r="N91" s="117"/>
      <c r="O91" s="117"/>
      <c r="P91" s="117"/>
      <c r="Q91" s="117"/>
    </row>
    <row r="92" spans="1:17" ht="16.8" thickTop="1" thickBot="1" x14ac:dyDescent="0.3">
      <c r="A92" s="117"/>
      <c r="B92" s="117"/>
      <c r="C92" s="156"/>
      <c r="D92" s="156"/>
      <c r="E92" s="156"/>
      <c r="F92" s="156"/>
      <c r="G92" s="156"/>
      <c r="H92" s="156"/>
      <c r="I92" s="117"/>
      <c r="J92" s="117"/>
      <c r="K92" s="166" t="s">
        <v>161</v>
      </c>
      <c r="L92" s="170"/>
      <c r="M92" s="167">
        <f>M91-M90</f>
        <v>16.61888944</v>
      </c>
      <c r="N92" s="117"/>
      <c r="O92" s="117"/>
      <c r="P92" s="117"/>
      <c r="Q92" s="117"/>
    </row>
    <row r="93" spans="1:17" ht="16.8" thickTop="1" thickBot="1" x14ac:dyDescent="0.3">
      <c r="A93" s="156"/>
      <c r="B93" s="156"/>
      <c r="C93" s="156"/>
      <c r="D93" s="146"/>
      <c r="E93" s="146"/>
      <c r="F93" s="146"/>
      <c r="G93" s="156"/>
      <c r="H93" s="156"/>
      <c r="I93" s="156"/>
      <c r="J93" s="156"/>
      <c r="K93" s="156"/>
      <c r="L93" s="156"/>
      <c r="M93" s="156"/>
      <c r="N93" s="117"/>
      <c r="O93" s="117"/>
      <c r="P93" s="117"/>
      <c r="Q93" s="117"/>
    </row>
    <row r="94" spans="1:17" ht="16.8" thickTop="1" thickBot="1" x14ac:dyDescent="0.3">
      <c r="A94" s="120" t="s">
        <v>0</v>
      </c>
      <c r="B94" s="121" t="s">
        <v>110</v>
      </c>
      <c r="C94" s="121" t="s">
        <v>100</v>
      </c>
      <c r="D94" s="121" t="s">
        <v>101</v>
      </c>
      <c r="E94" s="121" t="s">
        <v>102</v>
      </c>
      <c r="F94" s="121" t="s">
        <v>111</v>
      </c>
      <c r="G94" s="121" t="s">
        <v>103</v>
      </c>
      <c r="H94" s="121" t="s">
        <v>112</v>
      </c>
      <c r="I94" s="121" t="s">
        <v>105</v>
      </c>
      <c r="J94" s="121" t="s">
        <v>106</v>
      </c>
      <c r="K94" s="121" t="s">
        <v>107</v>
      </c>
      <c r="L94" s="122" t="s">
        <v>113</v>
      </c>
      <c r="M94" s="122" t="s">
        <v>114</v>
      </c>
      <c r="N94" s="117"/>
      <c r="O94" s="117"/>
      <c r="P94" s="117"/>
      <c r="Q94" s="117"/>
    </row>
    <row r="95" spans="1:17" ht="16.2" thickTop="1" x14ac:dyDescent="0.25">
      <c r="A95" s="172" t="s">
        <v>155</v>
      </c>
      <c r="B95" s="138" t="s">
        <v>153</v>
      </c>
      <c r="C95" s="139" t="s">
        <v>162</v>
      </c>
      <c r="D95" s="173">
        <v>3000</v>
      </c>
      <c r="E95" s="140">
        <v>6</v>
      </c>
      <c r="F95" s="152">
        <f t="shared" ref="F95:F100" si="12">E95*0.6666666/24</f>
        <v>0.16666665</v>
      </c>
      <c r="G95" s="131" t="s">
        <v>118</v>
      </c>
      <c r="H95" s="149" t="s">
        <v>155</v>
      </c>
      <c r="I95" s="150" t="s">
        <v>156</v>
      </c>
      <c r="J95" s="150" t="s">
        <v>157</v>
      </c>
      <c r="K95" s="150" t="s">
        <v>158</v>
      </c>
      <c r="L95" s="174" t="s">
        <v>162</v>
      </c>
      <c r="M95" s="179">
        <f t="shared" ref="M95:M103" si="13">$Q$6/60*F95*24</f>
        <v>0.53333328000000002</v>
      </c>
      <c r="N95" s="117"/>
      <c r="O95" s="117"/>
      <c r="P95" s="117"/>
      <c r="Q95" s="183"/>
    </row>
    <row r="96" spans="1:17" ht="15.6" x14ac:dyDescent="0.25">
      <c r="A96" s="172" t="s">
        <v>153</v>
      </c>
      <c r="B96" s="138" t="s">
        <v>150</v>
      </c>
      <c r="C96" s="139" t="s">
        <v>163</v>
      </c>
      <c r="D96" s="173">
        <v>3000</v>
      </c>
      <c r="E96" s="140">
        <v>13</v>
      </c>
      <c r="F96" s="152">
        <f t="shared" si="12"/>
        <v>0.361111075</v>
      </c>
      <c r="G96" s="142" t="s">
        <v>124</v>
      </c>
      <c r="H96" s="153" t="s">
        <v>128</v>
      </c>
      <c r="I96" s="150" t="s">
        <v>129</v>
      </c>
      <c r="J96" s="150" t="s">
        <v>130</v>
      </c>
      <c r="K96" s="139"/>
      <c r="L96" s="176"/>
      <c r="M96" s="179">
        <f t="shared" si="13"/>
        <v>1.1555554399999999</v>
      </c>
      <c r="N96" s="117"/>
      <c r="O96" s="117"/>
      <c r="P96" s="117"/>
      <c r="Q96" s="117"/>
    </row>
    <row r="97" spans="1:17" ht="15.6" x14ac:dyDescent="0.25">
      <c r="A97" s="172" t="s">
        <v>150</v>
      </c>
      <c r="B97" s="149" t="s">
        <v>146</v>
      </c>
      <c r="C97" s="150" t="s">
        <v>164</v>
      </c>
      <c r="D97" s="173">
        <v>3000</v>
      </c>
      <c r="E97" s="151">
        <v>8</v>
      </c>
      <c r="F97" s="152">
        <f t="shared" si="12"/>
        <v>0.22222220000000001</v>
      </c>
      <c r="G97" s="142" t="s">
        <v>124</v>
      </c>
      <c r="H97" s="153" t="s">
        <v>128</v>
      </c>
      <c r="I97" s="150" t="s">
        <v>129</v>
      </c>
      <c r="J97" s="150" t="s">
        <v>130</v>
      </c>
      <c r="K97" s="139"/>
      <c r="L97" s="177"/>
      <c r="M97" s="175">
        <f t="shared" si="13"/>
        <v>0.71111104000000003</v>
      </c>
      <c r="N97" s="117"/>
      <c r="O97" s="117"/>
      <c r="P97" s="117"/>
      <c r="Q97" s="117"/>
    </row>
    <row r="98" spans="1:17" ht="15.6" x14ac:dyDescent="0.25">
      <c r="A98" s="148" t="s">
        <v>146</v>
      </c>
      <c r="B98" s="149" t="s">
        <v>142</v>
      </c>
      <c r="C98" s="150" t="s">
        <v>165</v>
      </c>
      <c r="D98" s="178">
        <v>3000</v>
      </c>
      <c r="E98" s="151">
        <v>5</v>
      </c>
      <c r="F98" s="152">
        <f t="shared" si="12"/>
        <v>0.13888887499999999</v>
      </c>
      <c r="G98" s="142" t="s">
        <v>124</v>
      </c>
      <c r="H98" s="153" t="s">
        <v>128</v>
      </c>
      <c r="I98" s="150" t="s">
        <v>129</v>
      </c>
      <c r="J98" s="150" t="s">
        <v>130</v>
      </c>
      <c r="K98" s="150" t="s">
        <v>148</v>
      </c>
      <c r="L98" s="177" t="s">
        <v>152</v>
      </c>
      <c r="M98" s="175">
        <f t="shared" si="13"/>
        <v>0.44444439999999996</v>
      </c>
      <c r="N98" s="117"/>
      <c r="O98" s="117"/>
      <c r="P98" s="117"/>
      <c r="Q98" s="117"/>
    </row>
    <row r="99" spans="1:17" ht="15.6" x14ac:dyDescent="0.25">
      <c r="A99" s="148" t="s">
        <v>142</v>
      </c>
      <c r="B99" s="149" t="s">
        <v>138</v>
      </c>
      <c r="C99" s="150" t="s">
        <v>166</v>
      </c>
      <c r="D99" s="178">
        <v>3000</v>
      </c>
      <c r="E99" s="151">
        <v>11</v>
      </c>
      <c r="F99" s="152">
        <f t="shared" si="12"/>
        <v>0.30555552499999999</v>
      </c>
      <c r="G99" s="142" t="s">
        <v>124</v>
      </c>
      <c r="H99" s="153" t="s">
        <v>128</v>
      </c>
      <c r="I99" s="150" t="s">
        <v>129</v>
      </c>
      <c r="J99" s="150" t="s">
        <v>130</v>
      </c>
      <c r="K99" s="150" t="s">
        <v>148</v>
      </c>
      <c r="L99" s="177" t="s">
        <v>149</v>
      </c>
      <c r="M99" s="175">
        <f t="shared" si="13"/>
        <v>0.97777767999999998</v>
      </c>
      <c r="N99" s="117"/>
      <c r="O99" s="117"/>
      <c r="P99" s="117"/>
      <c r="Q99" s="117"/>
    </row>
    <row r="100" spans="1:17" ht="15.6" x14ac:dyDescent="0.25">
      <c r="A100" s="148" t="s">
        <v>138</v>
      </c>
      <c r="B100" s="149" t="s">
        <v>132</v>
      </c>
      <c r="C100" s="150" t="s">
        <v>167</v>
      </c>
      <c r="D100" s="178">
        <v>3000</v>
      </c>
      <c r="E100" s="151">
        <v>5</v>
      </c>
      <c r="F100" s="152">
        <f t="shared" si="12"/>
        <v>0.13888887499999999</v>
      </c>
      <c r="G100" s="142" t="s">
        <v>124</v>
      </c>
      <c r="H100" s="153" t="s">
        <v>128</v>
      </c>
      <c r="I100" s="150" t="s">
        <v>129</v>
      </c>
      <c r="J100" s="150" t="s">
        <v>130</v>
      </c>
      <c r="K100" s="150" t="s">
        <v>134</v>
      </c>
      <c r="L100" s="177" t="s">
        <v>144</v>
      </c>
      <c r="M100" s="175">
        <f t="shared" si="13"/>
        <v>0.44444439999999996</v>
      </c>
      <c r="N100" s="117"/>
      <c r="O100" s="117"/>
      <c r="P100" s="117"/>
      <c r="Q100" s="117"/>
    </row>
    <row r="101" spans="1:17" ht="15.6" x14ac:dyDescent="0.25">
      <c r="A101" s="148" t="s">
        <v>132</v>
      </c>
      <c r="B101" s="149" t="s">
        <v>186</v>
      </c>
      <c r="C101" s="150" t="s">
        <v>187</v>
      </c>
      <c r="D101" s="178" t="s">
        <v>182</v>
      </c>
      <c r="E101" s="151">
        <v>8</v>
      </c>
      <c r="F101" s="152">
        <f>E101*0.6666666/24</f>
        <v>0.22222220000000001</v>
      </c>
      <c r="G101" s="142" t="s">
        <v>169</v>
      </c>
      <c r="H101" s="153" t="s">
        <v>128</v>
      </c>
      <c r="I101" s="150" t="s">
        <v>129</v>
      </c>
      <c r="J101" s="150" t="s">
        <v>130</v>
      </c>
      <c r="K101" s="150" t="s">
        <v>134</v>
      </c>
      <c r="L101" s="177" t="s">
        <v>140</v>
      </c>
      <c r="M101" s="175">
        <f t="shared" si="13"/>
        <v>0.71111104000000003</v>
      </c>
      <c r="N101" s="117"/>
      <c r="O101" s="117"/>
      <c r="P101" s="117"/>
      <c r="Q101" s="117"/>
    </row>
    <row r="102" spans="1:17" ht="15.6" x14ac:dyDescent="0.25">
      <c r="A102" s="148" t="s">
        <v>186</v>
      </c>
      <c r="B102" s="149" t="s">
        <v>95</v>
      </c>
      <c r="C102" s="150" t="s">
        <v>162</v>
      </c>
      <c r="D102" s="178" t="s">
        <v>182</v>
      </c>
      <c r="E102" s="151">
        <v>6</v>
      </c>
      <c r="F102" s="152">
        <f>E102*0.6666666/24</f>
        <v>0.16666665</v>
      </c>
      <c r="G102" s="142" t="s">
        <v>124</v>
      </c>
      <c r="H102" s="153" t="s">
        <v>128</v>
      </c>
      <c r="I102" s="150" t="s">
        <v>129</v>
      </c>
      <c r="J102" s="150" t="s">
        <v>130</v>
      </c>
      <c r="K102" s="150" t="s">
        <v>134</v>
      </c>
      <c r="L102" s="177" t="s">
        <v>135</v>
      </c>
      <c r="M102" s="175">
        <f t="shared" si="13"/>
        <v>0.53333328000000002</v>
      </c>
      <c r="N102" s="117"/>
      <c r="O102" s="117"/>
      <c r="P102" s="117"/>
      <c r="Q102" s="117"/>
    </row>
    <row r="103" spans="1:17" ht="16.2" thickBot="1" x14ac:dyDescent="0.3">
      <c r="A103" s="148" t="s">
        <v>95</v>
      </c>
      <c r="B103" s="149" t="s">
        <v>94</v>
      </c>
      <c r="C103" s="150" t="s">
        <v>188</v>
      </c>
      <c r="D103" s="178" t="s">
        <v>189</v>
      </c>
      <c r="E103" s="151">
        <v>3</v>
      </c>
      <c r="F103" s="152">
        <f>E103*0.6666666/24</f>
        <v>8.3333325E-2</v>
      </c>
      <c r="G103" s="142" t="s">
        <v>169</v>
      </c>
      <c r="H103" s="153" t="s">
        <v>94</v>
      </c>
      <c r="I103" s="150" t="s">
        <v>119</v>
      </c>
      <c r="J103" s="150" t="s">
        <v>120</v>
      </c>
      <c r="K103" s="139"/>
      <c r="L103" s="177"/>
      <c r="M103" s="179">
        <f t="shared" si="13"/>
        <v>0.26666664000000001</v>
      </c>
      <c r="N103" s="117"/>
      <c r="O103" s="117"/>
      <c r="P103" s="117"/>
      <c r="Q103" s="117"/>
    </row>
    <row r="104" spans="1:17" ht="16.8" thickTop="1" thickBot="1" x14ac:dyDescent="0.3">
      <c r="A104" s="180"/>
      <c r="B104" s="162"/>
      <c r="C104" s="162"/>
      <c r="D104" s="163" t="s">
        <v>3</v>
      </c>
      <c r="E104" s="164">
        <f>SUM(E95:E103)</f>
        <v>65</v>
      </c>
      <c r="F104" s="165">
        <f>SUM(F95:F103)</f>
        <v>1.805555375</v>
      </c>
      <c r="G104" s="162"/>
      <c r="H104" s="162"/>
      <c r="I104" s="162"/>
      <c r="J104" s="162"/>
      <c r="K104" s="166" t="s">
        <v>159</v>
      </c>
      <c r="L104" s="162"/>
      <c r="M104" s="167">
        <f>SUM(M95:M103,$Q$3:$Q$5,$Q$7)</f>
        <v>7.8777772000000006</v>
      </c>
      <c r="N104" s="117"/>
      <c r="O104" s="117"/>
      <c r="P104" s="117"/>
      <c r="Q104" s="117"/>
    </row>
    <row r="105" spans="1:17" ht="16.8" thickTop="1" thickBot="1" x14ac:dyDescent="0.3">
      <c r="A105" s="156"/>
      <c r="B105" s="156"/>
      <c r="C105" s="156"/>
      <c r="D105" s="146"/>
      <c r="E105" s="146"/>
      <c r="F105" s="146"/>
      <c r="G105" s="146"/>
      <c r="H105" s="156"/>
      <c r="I105" s="156"/>
      <c r="J105" s="156"/>
      <c r="K105" s="168" t="s">
        <v>160</v>
      </c>
      <c r="L105" s="146"/>
      <c r="M105" s="181">
        <f>M92</f>
        <v>16.61888944</v>
      </c>
      <c r="N105" s="117"/>
      <c r="O105" s="117"/>
      <c r="P105" s="117"/>
      <c r="Q105" s="117"/>
    </row>
    <row r="106" spans="1:17" ht="16.8" thickTop="1" thickBot="1" x14ac:dyDescent="0.3">
      <c r="A106" s="156"/>
      <c r="B106" s="156"/>
      <c r="C106" s="156"/>
      <c r="D106" s="146"/>
      <c r="E106" s="184" t="s">
        <v>190</v>
      </c>
      <c r="F106" s="290" t="s">
        <v>191</v>
      </c>
      <c r="G106" s="291"/>
      <c r="H106" s="185" t="s">
        <v>192</v>
      </c>
      <c r="I106" s="186" t="s">
        <v>193</v>
      </c>
      <c r="J106" s="117"/>
      <c r="K106" s="166" t="s">
        <v>161</v>
      </c>
      <c r="L106" s="170"/>
      <c r="M106" s="167">
        <f>M105-M104</f>
        <v>8.7411122399999996</v>
      </c>
      <c r="N106" s="117"/>
      <c r="O106" s="117"/>
      <c r="P106" s="117"/>
      <c r="Q106" s="117"/>
    </row>
    <row r="107" spans="1:17" ht="16.8" thickTop="1" thickBot="1" x14ac:dyDescent="0.3">
      <c r="A107" s="117"/>
      <c r="B107" s="117"/>
      <c r="C107" s="117"/>
      <c r="D107" s="187" t="s">
        <v>194</v>
      </c>
      <c r="E107" s="188">
        <f>SUM(E90,E104)</f>
        <v>130</v>
      </c>
      <c r="F107" s="288">
        <f>SUM(F90,F104)/60</f>
        <v>6.0185179305555551E-2</v>
      </c>
      <c r="G107" s="289"/>
      <c r="H107" s="189">
        <f>SUM(M90,M104)</f>
        <v>15.75888776</v>
      </c>
      <c r="I107" s="190">
        <f>SUM(H107,Q85)</f>
        <v>21.75888776</v>
      </c>
      <c r="J107" s="117"/>
      <c r="K107" s="117"/>
      <c r="L107" s="117"/>
      <c r="M107" s="117"/>
      <c r="N107" s="117"/>
      <c r="O107" s="117"/>
      <c r="P107" s="117"/>
      <c r="Q107" s="117"/>
    </row>
    <row r="108" spans="1:17" ht="16.2" thickTop="1" x14ac:dyDescent="0.25">
      <c r="A108" s="191" t="s">
        <v>195</v>
      </c>
      <c r="B108" s="117"/>
      <c r="C108" s="117"/>
      <c r="D108" s="117"/>
      <c r="E108" s="117"/>
      <c r="F108" s="117"/>
      <c r="G108" s="117"/>
      <c r="H108" s="117"/>
      <c r="I108" s="117"/>
      <c r="J108" s="117"/>
      <c r="K108" s="117"/>
      <c r="L108" s="117"/>
      <c r="M108" s="117"/>
      <c r="N108" s="117"/>
      <c r="O108" s="117"/>
      <c r="P108" s="117"/>
      <c r="Q108" s="117"/>
    </row>
    <row r="109" spans="1:17" ht="15.6" x14ac:dyDescent="0.25">
      <c r="A109" s="156"/>
      <c r="B109" s="117"/>
      <c r="C109" s="117"/>
      <c r="D109" s="117"/>
      <c r="E109" s="117"/>
      <c r="F109" s="117"/>
      <c r="G109" s="117"/>
      <c r="H109" s="117"/>
      <c r="I109" s="117"/>
      <c r="J109" s="117"/>
      <c r="K109" s="117"/>
      <c r="L109" s="117"/>
      <c r="M109" s="117"/>
      <c r="N109" s="117"/>
      <c r="O109" s="117"/>
      <c r="P109" s="117"/>
      <c r="Q109" s="117"/>
    </row>
    <row r="111" spans="1:17" ht="16.2" thickBot="1" x14ac:dyDescent="0.3">
      <c r="A111" s="117"/>
      <c r="B111" s="117"/>
      <c r="C111" s="117"/>
      <c r="D111" s="117"/>
      <c r="E111" s="117"/>
      <c r="F111" s="118" t="s">
        <v>200</v>
      </c>
      <c r="G111" s="117"/>
      <c r="H111" s="117"/>
      <c r="I111" s="117"/>
      <c r="J111" s="117"/>
      <c r="K111" s="117"/>
      <c r="L111" s="117"/>
      <c r="M111" s="117"/>
      <c r="N111" s="117"/>
      <c r="O111" s="117"/>
      <c r="P111" s="117"/>
      <c r="Q111" s="117"/>
    </row>
    <row r="112" spans="1:17" ht="16.8" thickTop="1" thickBot="1" x14ac:dyDescent="0.3">
      <c r="A112" s="120" t="s">
        <v>0</v>
      </c>
      <c r="B112" s="121" t="s">
        <v>110</v>
      </c>
      <c r="C112" s="121" t="s">
        <v>100</v>
      </c>
      <c r="D112" s="121" t="s">
        <v>101</v>
      </c>
      <c r="E112" s="121" t="s">
        <v>102</v>
      </c>
      <c r="F112" s="121" t="s">
        <v>111</v>
      </c>
      <c r="G112" s="121" t="s">
        <v>103</v>
      </c>
      <c r="H112" s="121" t="s">
        <v>112</v>
      </c>
      <c r="I112" s="121" t="s">
        <v>105</v>
      </c>
      <c r="J112" s="121" t="s">
        <v>106</v>
      </c>
      <c r="K112" s="121" t="s">
        <v>107</v>
      </c>
      <c r="L112" s="122" t="s">
        <v>113</v>
      </c>
      <c r="M112" s="122" t="s">
        <v>114</v>
      </c>
      <c r="N112" s="123"/>
      <c r="O112" s="124" t="s">
        <v>115</v>
      </c>
      <c r="P112" s="125" t="s">
        <v>116</v>
      </c>
      <c r="Q112" s="125"/>
    </row>
    <row r="113" spans="1:17" ht="16.2" thickTop="1" x14ac:dyDescent="0.3">
      <c r="A113" s="193" t="s">
        <v>94</v>
      </c>
      <c r="B113" s="194" t="s">
        <v>201</v>
      </c>
      <c r="C113" s="128" t="s">
        <v>202</v>
      </c>
      <c r="D113" s="129">
        <v>1200</v>
      </c>
      <c r="E113" s="195">
        <v>2</v>
      </c>
      <c r="F113" s="130">
        <f t="shared" ref="F113:F120" si="14">E113*0.6666666/24</f>
        <v>5.5555550000000002E-2</v>
      </c>
      <c r="G113" s="131" t="s">
        <v>118</v>
      </c>
      <c r="H113" s="132" t="s">
        <v>94</v>
      </c>
      <c r="I113" s="128" t="s">
        <v>119</v>
      </c>
      <c r="J113" s="128" t="s">
        <v>120</v>
      </c>
      <c r="K113" s="128"/>
      <c r="L113" s="95"/>
      <c r="M113" s="134">
        <f t="shared" ref="M113:M127" si="15">$Q$5/60*F113*24</f>
        <v>2.2222220000000001E-2</v>
      </c>
      <c r="N113" s="123"/>
      <c r="O113" s="135" t="s">
        <v>121</v>
      </c>
      <c r="P113" s="136"/>
      <c r="Q113" s="137">
        <v>1.1000000000000001</v>
      </c>
    </row>
    <row r="114" spans="1:17" ht="15.6" x14ac:dyDescent="0.3">
      <c r="A114" s="196" t="s">
        <v>201</v>
      </c>
      <c r="B114" s="197" t="s">
        <v>203</v>
      </c>
      <c r="C114" s="150" t="s">
        <v>204</v>
      </c>
      <c r="D114" s="151">
        <v>1200</v>
      </c>
      <c r="E114" s="198">
        <v>3</v>
      </c>
      <c r="F114" s="152">
        <f t="shared" si="14"/>
        <v>8.3333325E-2</v>
      </c>
      <c r="G114" s="142" t="s">
        <v>124</v>
      </c>
      <c r="H114" s="153" t="s">
        <v>205</v>
      </c>
      <c r="I114" s="150" t="s">
        <v>206</v>
      </c>
      <c r="J114" s="150" t="s">
        <v>207</v>
      </c>
      <c r="K114" s="150"/>
      <c r="L114" s="96"/>
      <c r="M114" s="155">
        <f t="shared" si="15"/>
        <v>3.3333330000000001E-2</v>
      </c>
      <c r="N114" s="156"/>
      <c r="O114" s="145" t="s">
        <v>131</v>
      </c>
      <c r="P114" s="157"/>
      <c r="Q114" s="147">
        <v>1</v>
      </c>
    </row>
    <row r="115" spans="1:17" ht="15.6" x14ac:dyDescent="0.3">
      <c r="A115" s="196" t="s">
        <v>203</v>
      </c>
      <c r="B115" s="197" t="s">
        <v>205</v>
      </c>
      <c r="C115" s="150" t="s">
        <v>208</v>
      </c>
      <c r="D115" s="151">
        <v>1200</v>
      </c>
      <c r="E115" s="198">
        <v>2</v>
      </c>
      <c r="F115" s="152">
        <f t="shared" si="14"/>
        <v>5.5555550000000002E-2</v>
      </c>
      <c r="G115" s="142" t="s">
        <v>124</v>
      </c>
      <c r="H115" s="153" t="s">
        <v>205</v>
      </c>
      <c r="I115" s="150" t="s">
        <v>206</v>
      </c>
      <c r="J115" s="150" t="s">
        <v>207</v>
      </c>
      <c r="K115" s="150"/>
      <c r="L115" s="96"/>
      <c r="M115" s="155">
        <f t="shared" si="15"/>
        <v>2.2222220000000001E-2</v>
      </c>
      <c r="N115" s="156"/>
      <c r="O115" s="145" t="s">
        <v>136</v>
      </c>
      <c r="P115" s="146" t="s">
        <v>137</v>
      </c>
      <c r="Q115" s="147">
        <v>8</v>
      </c>
    </row>
    <row r="116" spans="1:17" ht="15.6" x14ac:dyDescent="0.3">
      <c r="A116" s="196" t="s">
        <v>205</v>
      </c>
      <c r="B116" s="197" t="s">
        <v>209</v>
      </c>
      <c r="C116" s="150" t="s">
        <v>210</v>
      </c>
      <c r="D116" s="151">
        <v>800</v>
      </c>
      <c r="E116" s="198">
        <v>7</v>
      </c>
      <c r="F116" s="152">
        <f t="shared" si="14"/>
        <v>0.194444425</v>
      </c>
      <c r="G116" s="142" t="s">
        <v>169</v>
      </c>
      <c r="H116" s="153" t="s">
        <v>205</v>
      </c>
      <c r="I116" s="150" t="s">
        <v>206</v>
      </c>
      <c r="J116" s="150" t="s">
        <v>207</v>
      </c>
      <c r="K116" s="150"/>
      <c r="L116" s="96"/>
      <c r="M116" s="155">
        <f t="shared" si="15"/>
        <v>7.7777769999999996E-2</v>
      </c>
      <c r="N116" s="156"/>
      <c r="O116" s="145" t="s">
        <v>141</v>
      </c>
      <c r="P116" s="146"/>
      <c r="Q116" s="147">
        <v>0</v>
      </c>
    </row>
    <row r="117" spans="1:17" ht="16.2" thickBot="1" x14ac:dyDescent="0.35">
      <c r="A117" s="196" t="s">
        <v>209</v>
      </c>
      <c r="B117" s="197" t="s">
        <v>211</v>
      </c>
      <c r="C117" s="150" t="s">
        <v>212</v>
      </c>
      <c r="D117" s="151">
        <v>800</v>
      </c>
      <c r="E117" s="198">
        <v>4</v>
      </c>
      <c r="F117" s="152">
        <f t="shared" si="14"/>
        <v>0.1111111</v>
      </c>
      <c r="G117" s="142" t="s">
        <v>124</v>
      </c>
      <c r="H117" s="153" t="s">
        <v>213</v>
      </c>
      <c r="I117" s="150" t="s">
        <v>214</v>
      </c>
      <c r="J117" s="150"/>
      <c r="K117" s="150" t="s">
        <v>215</v>
      </c>
      <c r="L117" s="96" t="s">
        <v>216</v>
      </c>
      <c r="M117" s="155">
        <f t="shared" si="15"/>
        <v>4.4444440000000002E-2</v>
      </c>
      <c r="N117" s="156"/>
      <c r="O117" s="158" t="s">
        <v>145</v>
      </c>
      <c r="P117" s="159"/>
      <c r="Q117" s="160">
        <f>Q115/60*45</f>
        <v>6</v>
      </c>
    </row>
    <row r="118" spans="1:17" ht="16.2" thickTop="1" x14ac:dyDescent="0.25">
      <c r="A118" s="196" t="s">
        <v>211</v>
      </c>
      <c r="B118" s="197" t="s">
        <v>217</v>
      </c>
      <c r="C118" s="150" t="s">
        <v>218</v>
      </c>
      <c r="D118" s="151">
        <v>800</v>
      </c>
      <c r="E118" s="198">
        <v>3.5</v>
      </c>
      <c r="F118" s="152">
        <f t="shared" si="14"/>
        <v>9.7222212500000002E-2</v>
      </c>
      <c r="G118" s="142" t="s">
        <v>124</v>
      </c>
      <c r="H118" s="153" t="s">
        <v>213</v>
      </c>
      <c r="I118" s="150" t="s">
        <v>214</v>
      </c>
      <c r="J118" s="150"/>
      <c r="K118" s="150" t="s">
        <v>215</v>
      </c>
      <c r="L118" s="96" t="s">
        <v>219</v>
      </c>
      <c r="M118" s="155">
        <f t="shared" si="15"/>
        <v>3.8888884999999998E-2</v>
      </c>
      <c r="N118" s="156"/>
      <c r="O118" s="117"/>
      <c r="P118" s="117"/>
      <c r="Q118" s="117"/>
    </row>
    <row r="119" spans="1:17" ht="15.6" x14ac:dyDescent="0.25">
      <c r="A119" s="196" t="s">
        <v>217</v>
      </c>
      <c r="B119" s="197" t="s">
        <v>220</v>
      </c>
      <c r="C119" s="150" t="s">
        <v>218</v>
      </c>
      <c r="D119" s="151">
        <v>800</v>
      </c>
      <c r="E119" s="198">
        <v>1.5</v>
      </c>
      <c r="F119" s="152">
        <f t="shared" si="14"/>
        <v>4.16666625E-2</v>
      </c>
      <c r="G119" s="142" t="s">
        <v>124</v>
      </c>
      <c r="H119" s="153" t="s">
        <v>213</v>
      </c>
      <c r="I119" s="150" t="s">
        <v>214</v>
      </c>
      <c r="J119" s="150"/>
      <c r="K119" s="150"/>
      <c r="L119" s="96"/>
      <c r="M119" s="155">
        <f t="shared" si="15"/>
        <v>1.6666665000000001E-2</v>
      </c>
      <c r="N119" s="156"/>
      <c r="O119" s="117"/>
      <c r="P119" s="117"/>
      <c r="Q119" s="161"/>
    </row>
    <row r="120" spans="1:17" ht="15.6" x14ac:dyDescent="0.25">
      <c r="A120" s="196" t="s">
        <v>220</v>
      </c>
      <c r="B120" s="197" t="s">
        <v>221</v>
      </c>
      <c r="C120" s="150" t="s">
        <v>222</v>
      </c>
      <c r="D120" s="151">
        <v>800</v>
      </c>
      <c r="E120" s="198">
        <v>6</v>
      </c>
      <c r="F120" s="152">
        <f t="shared" si="14"/>
        <v>0.16666665</v>
      </c>
      <c r="G120" s="142" t="s">
        <v>124</v>
      </c>
      <c r="H120" s="153" t="s">
        <v>213</v>
      </c>
      <c r="I120" s="150" t="s">
        <v>214</v>
      </c>
      <c r="J120" s="150"/>
      <c r="K120" s="150" t="s">
        <v>215</v>
      </c>
      <c r="L120" s="96" t="s">
        <v>223</v>
      </c>
      <c r="M120" s="155">
        <f t="shared" si="15"/>
        <v>6.6666660000000003E-2</v>
      </c>
      <c r="N120" s="156"/>
      <c r="O120" s="117"/>
      <c r="P120" s="117"/>
      <c r="Q120" s="161"/>
    </row>
    <row r="121" spans="1:17" ht="15.6" x14ac:dyDescent="0.25">
      <c r="A121" s="196" t="s">
        <v>221</v>
      </c>
      <c r="B121" s="197" t="s">
        <v>224</v>
      </c>
      <c r="C121" s="150" t="s">
        <v>210</v>
      </c>
      <c r="D121" s="151">
        <v>800</v>
      </c>
      <c r="E121" s="198">
        <v>11</v>
      </c>
      <c r="F121" s="152">
        <f>E121*0.6666666/24</f>
        <v>0.30555552499999999</v>
      </c>
      <c r="G121" s="142" t="s">
        <v>124</v>
      </c>
      <c r="H121" s="153" t="s">
        <v>225</v>
      </c>
      <c r="I121" s="150" t="s">
        <v>226</v>
      </c>
      <c r="J121" s="150"/>
      <c r="K121" s="150" t="s">
        <v>215</v>
      </c>
      <c r="L121" s="96" t="s">
        <v>227</v>
      </c>
      <c r="M121" s="155">
        <f t="shared" si="15"/>
        <v>0.12222221</v>
      </c>
      <c r="N121" s="156"/>
      <c r="O121" s="117"/>
      <c r="P121" s="117"/>
      <c r="Q121" s="161"/>
    </row>
    <row r="122" spans="1:17" ht="15.6" x14ac:dyDescent="0.25">
      <c r="A122" s="196" t="s">
        <v>224</v>
      </c>
      <c r="B122" s="197" t="s">
        <v>228</v>
      </c>
      <c r="C122" s="150" t="s">
        <v>229</v>
      </c>
      <c r="D122" s="151">
        <v>1500</v>
      </c>
      <c r="E122" s="198">
        <v>5</v>
      </c>
      <c r="F122" s="152">
        <f t="shared" ref="F122:F127" si="16">E122*0.6666666/24</f>
        <v>0.13888887499999999</v>
      </c>
      <c r="G122" s="142" t="s">
        <v>118</v>
      </c>
      <c r="H122" s="153" t="s">
        <v>225</v>
      </c>
      <c r="I122" s="150" t="s">
        <v>226</v>
      </c>
      <c r="J122" s="150"/>
      <c r="K122" s="150" t="s">
        <v>215</v>
      </c>
      <c r="L122" s="96" t="s">
        <v>230</v>
      </c>
      <c r="M122" s="155">
        <f t="shared" si="15"/>
        <v>5.5555549999999995E-2</v>
      </c>
      <c r="N122" s="156"/>
      <c r="O122" s="117"/>
      <c r="P122" s="117"/>
      <c r="Q122" s="161"/>
    </row>
    <row r="123" spans="1:17" ht="15.6" x14ac:dyDescent="0.25">
      <c r="A123" s="196" t="s">
        <v>228</v>
      </c>
      <c r="B123" s="197" t="s">
        <v>231</v>
      </c>
      <c r="C123" s="150" t="s">
        <v>229</v>
      </c>
      <c r="D123" s="151">
        <v>1500</v>
      </c>
      <c r="E123" s="198">
        <v>3</v>
      </c>
      <c r="F123" s="152">
        <f t="shared" si="16"/>
        <v>8.3333325E-2</v>
      </c>
      <c r="G123" s="142" t="s">
        <v>124</v>
      </c>
      <c r="H123" s="153" t="s">
        <v>225</v>
      </c>
      <c r="I123" s="150" t="s">
        <v>226</v>
      </c>
      <c r="J123" s="150"/>
      <c r="K123" s="150" t="s">
        <v>215</v>
      </c>
      <c r="L123" s="96" t="s">
        <v>232</v>
      </c>
      <c r="M123" s="155">
        <f t="shared" si="15"/>
        <v>3.3333330000000001E-2</v>
      </c>
      <c r="N123" s="156"/>
      <c r="O123" s="117"/>
      <c r="P123" s="117"/>
      <c r="Q123" s="161"/>
    </row>
    <row r="124" spans="1:17" ht="15.6" x14ac:dyDescent="0.25">
      <c r="A124" s="196" t="s">
        <v>231</v>
      </c>
      <c r="B124" s="197" t="s">
        <v>233</v>
      </c>
      <c r="C124" s="150" t="s">
        <v>234</v>
      </c>
      <c r="D124" s="151">
        <v>2500</v>
      </c>
      <c r="E124" s="198">
        <v>9</v>
      </c>
      <c r="F124" s="152">
        <f t="shared" si="16"/>
        <v>0.24999997500000001</v>
      </c>
      <c r="G124" s="142" t="s">
        <v>118</v>
      </c>
      <c r="H124" s="153" t="s">
        <v>225</v>
      </c>
      <c r="I124" s="150" t="s">
        <v>226</v>
      </c>
      <c r="J124" s="150"/>
      <c r="K124" s="150" t="s">
        <v>235</v>
      </c>
      <c r="L124" s="96" t="s">
        <v>236</v>
      </c>
      <c r="M124" s="155">
        <f t="shared" si="15"/>
        <v>9.9999990000000011E-2</v>
      </c>
      <c r="N124" s="156"/>
      <c r="O124" s="117"/>
      <c r="P124" s="117"/>
      <c r="Q124" s="161"/>
    </row>
    <row r="125" spans="1:17" ht="15.6" x14ac:dyDescent="0.25">
      <c r="A125" s="196" t="s">
        <v>233</v>
      </c>
      <c r="B125" s="197" t="s">
        <v>237</v>
      </c>
      <c r="C125" s="150" t="s">
        <v>238</v>
      </c>
      <c r="D125" s="151">
        <v>2500</v>
      </c>
      <c r="E125" s="198">
        <v>2</v>
      </c>
      <c r="F125" s="152">
        <f t="shared" si="16"/>
        <v>5.5555550000000002E-2</v>
      </c>
      <c r="G125" s="142" t="s">
        <v>124</v>
      </c>
      <c r="H125" s="153" t="s">
        <v>225</v>
      </c>
      <c r="I125" s="150" t="s">
        <v>226</v>
      </c>
      <c r="J125" s="150"/>
      <c r="K125" s="150" t="s">
        <v>235</v>
      </c>
      <c r="L125" s="96" t="s">
        <v>239</v>
      </c>
      <c r="M125" s="155">
        <f t="shared" si="15"/>
        <v>2.2222220000000001E-2</v>
      </c>
      <c r="N125" s="156"/>
      <c r="O125" s="117"/>
      <c r="P125" s="117"/>
      <c r="Q125" s="161"/>
    </row>
    <row r="126" spans="1:17" ht="15.6" x14ac:dyDescent="0.25">
      <c r="A126" s="196" t="s">
        <v>237</v>
      </c>
      <c r="B126" s="197" t="s">
        <v>240</v>
      </c>
      <c r="C126" s="150" t="s">
        <v>238</v>
      </c>
      <c r="D126" s="151">
        <v>2500</v>
      </c>
      <c r="E126" s="198">
        <v>5.5</v>
      </c>
      <c r="F126" s="152">
        <f t="shared" si="16"/>
        <v>0.1527777625</v>
      </c>
      <c r="G126" s="142" t="s">
        <v>124</v>
      </c>
      <c r="H126" s="153" t="s">
        <v>241</v>
      </c>
      <c r="I126" s="150" t="s">
        <v>242</v>
      </c>
      <c r="J126" s="150" t="s">
        <v>243</v>
      </c>
      <c r="K126" s="150" t="s">
        <v>235</v>
      </c>
      <c r="L126" s="96" t="s">
        <v>244</v>
      </c>
      <c r="M126" s="155">
        <f t="shared" si="15"/>
        <v>6.1111104999999999E-2</v>
      </c>
      <c r="N126" s="156"/>
      <c r="O126" s="117"/>
      <c r="P126" s="117"/>
      <c r="Q126" s="117"/>
    </row>
    <row r="127" spans="1:17" ht="16.2" thickBot="1" x14ac:dyDescent="0.3">
      <c r="A127" s="196" t="s">
        <v>240</v>
      </c>
      <c r="B127" s="197" t="s">
        <v>245</v>
      </c>
      <c r="C127" s="150" t="s">
        <v>246</v>
      </c>
      <c r="D127" s="151">
        <v>1500</v>
      </c>
      <c r="E127" s="198">
        <v>3</v>
      </c>
      <c r="F127" s="152">
        <f t="shared" si="16"/>
        <v>8.3333325E-2</v>
      </c>
      <c r="G127" s="142" t="s">
        <v>169</v>
      </c>
      <c r="H127" s="153" t="s">
        <v>245</v>
      </c>
      <c r="I127" s="150" t="s">
        <v>247</v>
      </c>
      <c r="J127" s="150" t="s">
        <v>248</v>
      </c>
      <c r="K127" s="150" t="s">
        <v>235</v>
      </c>
      <c r="L127" s="96" t="s">
        <v>249</v>
      </c>
      <c r="M127" s="155">
        <f t="shared" si="15"/>
        <v>3.3333330000000001E-2</v>
      </c>
      <c r="N127" s="117"/>
      <c r="O127" s="117"/>
      <c r="P127" s="117"/>
      <c r="Q127" s="117"/>
    </row>
    <row r="128" spans="1:17" ht="16.8" thickTop="1" thickBot="1" x14ac:dyDescent="0.3">
      <c r="A128" s="162"/>
      <c r="B128" s="162"/>
      <c r="C128" s="162"/>
      <c r="D128" s="163" t="s">
        <v>3</v>
      </c>
      <c r="E128" s="199">
        <f>SUM(E113:E127)</f>
        <v>67.5</v>
      </c>
      <c r="F128" s="165">
        <f>SUM(F113:F127)</f>
        <v>1.8749998124999996</v>
      </c>
      <c r="G128" s="162"/>
      <c r="H128" s="162"/>
      <c r="I128" s="162"/>
      <c r="J128" s="162"/>
      <c r="K128" s="166" t="s">
        <v>159</v>
      </c>
      <c r="L128" s="162"/>
      <c r="M128" s="167">
        <f>SUM(M113:M127,$Q$3:$Q$4,$Q$6)</f>
        <v>9.8499999250000005</v>
      </c>
      <c r="N128" s="117"/>
      <c r="O128" s="117"/>
      <c r="P128" s="117"/>
      <c r="Q128" s="117"/>
    </row>
    <row r="129" spans="1:17" ht="16.8" thickTop="1" thickBot="1" x14ac:dyDescent="0.3">
      <c r="A129" s="117"/>
      <c r="B129" s="117"/>
      <c r="C129" s="117"/>
      <c r="D129" s="117"/>
      <c r="E129" s="117"/>
      <c r="F129" s="117"/>
      <c r="G129" s="156"/>
      <c r="H129" s="156"/>
      <c r="I129" s="117"/>
      <c r="J129" s="117"/>
      <c r="K129" s="168" t="s">
        <v>160</v>
      </c>
      <c r="L129" s="146"/>
      <c r="M129" s="169">
        <v>24.5</v>
      </c>
      <c r="N129" s="117"/>
      <c r="O129" s="117"/>
      <c r="P129" s="117"/>
      <c r="Q129" s="117"/>
    </row>
    <row r="130" spans="1:17" ht="16.8" thickTop="1" thickBot="1" x14ac:dyDescent="0.3">
      <c r="A130" s="117"/>
      <c r="B130" s="117"/>
      <c r="C130" s="156"/>
      <c r="D130" s="156"/>
      <c r="E130" s="156"/>
      <c r="F130" s="156"/>
      <c r="G130" s="156"/>
      <c r="H130" s="156"/>
      <c r="I130" s="117"/>
      <c r="J130" s="117"/>
      <c r="K130" s="166" t="s">
        <v>161</v>
      </c>
      <c r="L130" s="170"/>
      <c r="M130" s="167">
        <f>M129-M128</f>
        <v>14.650000074999999</v>
      </c>
      <c r="N130" s="117"/>
      <c r="O130" s="117"/>
      <c r="P130" s="117"/>
      <c r="Q130" s="117"/>
    </row>
    <row r="131" spans="1:17" ht="16.2" thickTop="1" x14ac:dyDescent="0.3">
      <c r="A131" s="200" t="s">
        <v>250</v>
      </c>
      <c r="B131" s="117"/>
      <c r="C131" s="156"/>
      <c r="D131" s="156"/>
      <c r="E131" s="156"/>
      <c r="F131" s="156"/>
      <c r="G131" s="156"/>
      <c r="H131" s="156"/>
      <c r="I131" s="200">
        <v>129.05000000000001</v>
      </c>
      <c r="J131" s="117"/>
      <c r="K131" s="201">
        <v>114</v>
      </c>
      <c r="L131" s="146"/>
      <c r="M131" s="202"/>
      <c r="N131" s="117"/>
      <c r="O131" s="117"/>
      <c r="P131" s="117"/>
      <c r="Q131" s="117"/>
    </row>
    <row r="132" spans="1:17" ht="16.2" thickBot="1" x14ac:dyDescent="0.3">
      <c r="A132" s="156"/>
      <c r="B132" s="156"/>
      <c r="C132" s="156"/>
      <c r="D132" s="146"/>
      <c r="E132" s="146"/>
      <c r="F132" s="146"/>
      <c r="G132" s="156"/>
      <c r="H132" s="156"/>
      <c r="I132" s="156"/>
      <c r="J132" s="156"/>
      <c r="K132" s="156"/>
      <c r="L132" s="156"/>
      <c r="M132" s="156"/>
      <c r="N132" s="117"/>
      <c r="O132" s="117"/>
      <c r="P132" s="117"/>
      <c r="Q132" s="117"/>
    </row>
    <row r="133" spans="1:17" ht="16.8" thickTop="1" thickBot="1" x14ac:dyDescent="0.3">
      <c r="A133" s="120" t="s">
        <v>0</v>
      </c>
      <c r="B133" s="121" t="s">
        <v>110</v>
      </c>
      <c r="C133" s="121" t="s">
        <v>100</v>
      </c>
      <c r="D133" s="121" t="s">
        <v>101</v>
      </c>
      <c r="E133" s="121" t="s">
        <v>102</v>
      </c>
      <c r="F133" s="121" t="s">
        <v>111</v>
      </c>
      <c r="G133" s="121" t="s">
        <v>103</v>
      </c>
      <c r="H133" s="121" t="s">
        <v>112</v>
      </c>
      <c r="I133" s="121" t="s">
        <v>105</v>
      </c>
      <c r="J133" s="121" t="s">
        <v>106</v>
      </c>
      <c r="K133" s="121" t="s">
        <v>107</v>
      </c>
      <c r="L133" s="122" t="s">
        <v>113</v>
      </c>
      <c r="M133" s="122" t="s">
        <v>114</v>
      </c>
      <c r="N133" s="117"/>
      <c r="O133" s="117"/>
      <c r="P133" s="117"/>
      <c r="Q133" s="183"/>
    </row>
    <row r="134" spans="1:17" ht="16.2" thickTop="1" x14ac:dyDescent="0.25">
      <c r="A134" s="203" t="s">
        <v>245</v>
      </c>
      <c r="B134" s="204" t="s">
        <v>240</v>
      </c>
      <c r="C134" s="139" t="s">
        <v>251</v>
      </c>
      <c r="D134" s="173">
        <v>3000</v>
      </c>
      <c r="E134" s="195">
        <v>3</v>
      </c>
      <c r="F134" s="152">
        <f t="shared" ref="F134:F147" si="17">E134*0.6666666/24</f>
        <v>8.3333325E-2</v>
      </c>
      <c r="G134" s="131" t="s">
        <v>118</v>
      </c>
      <c r="H134" s="153" t="s">
        <v>245</v>
      </c>
      <c r="I134" s="150" t="s">
        <v>247</v>
      </c>
      <c r="J134" s="150" t="s">
        <v>248</v>
      </c>
      <c r="K134" s="150"/>
      <c r="L134" s="96"/>
      <c r="M134" s="134">
        <f t="shared" ref="M134:M147" si="18">$Q$5/60*F134*24</f>
        <v>3.3333330000000001E-2</v>
      </c>
      <c r="N134" s="117"/>
      <c r="O134" s="117"/>
      <c r="P134" s="117"/>
      <c r="Q134" s="183"/>
    </row>
    <row r="135" spans="1:17" ht="15.6" x14ac:dyDescent="0.25">
      <c r="A135" s="203" t="s">
        <v>240</v>
      </c>
      <c r="B135" s="204" t="s">
        <v>237</v>
      </c>
      <c r="C135" s="139" t="s">
        <v>252</v>
      </c>
      <c r="D135" s="173">
        <v>3000</v>
      </c>
      <c r="E135" s="198">
        <v>5.5</v>
      </c>
      <c r="F135" s="152">
        <f t="shared" si="17"/>
        <v>0.1527777625</v>
      </c>
      <c r="G135" s="142" t="s">
        <v>124</v>
      </c>
      <c r="H135" s="153" t="s">
        <v>241</v>
      </c>
      <c r="I135" s="150" t="s">
        <v>242</v>
      </c>
      <c r="J135" s="150" t="s">
        <v>243</v>
      </c>
      <c r="K135" s="150" t="s">
        <v>235</v>
      </c>
      <c r="L135" s="96" t="s">
        <v>253</v>
      </c>
      <c r="M135" s="144">
        <f t="shared" si="18"/>
        <v>6.1111104999999999E-2</v>
      </c>
      <c r="N135" s="117"/>
      <c r="O135" s="117"/>
      <c r="P135" s="117"/>
      <c r="Q135" s="183"/>
    </row>
    <row r="136" spans="1:17" ht="15.6" x14ac:dyDescent="0.25">
      <c r="A136" s="203" t="s">
        <v>237</v>
      </c>
      <c r="B136" s="204" t="s">
        <v>233</v>
      </c>
      <c r="C136" s="139" t="s">
        <v>252</v>
      </c>
      <c r="D136" s="173">
        <v>3000</v>
      </c>
      <c r="E136" s="198">
        <v>2</v>
      </c>
      <c r="F136" s="152">
        <f t="shared" si="17"/>
        <v>5.5555550000000002E-2</v>
      </c>
      <c r="G136" s="142" t="s">
        <v>124</v>
      </c>
      <c r="H136" s="153" t="s">
        <v>225</v>
      </c>
      <c r="I136" s="150" t="s">
        <v>226</v>
      </c>
      <c r="J136" s="150"/>
      <c r="K136" s="150" t="s">
        <v>235</v>
      </c>
      <c r="L136" s="96" t="s">
        <v>244</v>
      </c>
      <c r="M136" s="144">
        <f t="shared" si="18"/>
        <v>2.2222220000000001E-2</v>
      </c>
      <c r="N136" s="117"/>
      <c r="O136" s="117"/>
      <c r="P136" s="117"/>
      <c r="Q136" s="183"/>
    </row>
    <row r="137" spans="1:17" ht="15.6" x14ac:dyDescent="0.25">
      <c r="A137" s="203" t="s">
        <v>233</v>
      </c>
      <c r="B137" s="204" t="s">
        <v>231</v>
      </c>
      <c r="C137" s="139" t="s">
        <v>254</v>
      </c>
      <c r="D137" s="173">
        <v>3000</v>
      </c>
      <c r="E137" s="198">
        <v>9</v>
      </c>
      <c r="F137" s="152">
        <f t="shared" si="17"/>
        <v>0.24999997500000001</v>
      </c>
      <c r="G137" s="142" t="s">
        <v>124</v>
      </c>
      <c r="H137" s="153" t="s">
        <v>225</v>
      </c>
      <c r="I137" s="150" t="s">
        <v>226</v>
      </c>
      <c r="J137" s="150"/>
      <c r="K137" s="150" t="s">
        <v>235</v>
      </c>
      <c r="L137" s="96" t="s">
        <v>239</v>
      </c>
      <c r="M137" s="144">
        <f t="shared" si="18"/>
        <v>9.9999990000000011E-2</v>
      </c>
      <c r="N137" s="117"/>
      <c r="O137" s="117"/>
      <c r="P137" s="117"/>
      <c r="Q137" s="183"/>
    </row>
    <row r="138" spans="1:17" ht="15.6" x14ac:dyDescent="0.25">
      <c r="A138" s="203" t="s">
        <v>231</v>
      </c>
      <c r="B138" s="204" t="s">
        <v>228</v>
      </c>
      <c r="C138" s="139" t="s">
        <v>255</v>
      </c>
      <c r="D138" s="173">
        <v>2000</v>
      </c>
      <c r="E138" s="198">
        <v>3</v>
      </c>
      <c r="F138" s="152">
        <f t="shared" si="17"/>
        <v>8.3333325E-2</v>
      </c>
      <c r="G138" s="142" t="s">
        <v>169</v>
      </c>
      <c r="H138" s="153" t="s">
        <v>225</v>
      </c>
      <c r="I138" s="150" t="s">
        <v>226</v>
      </c>
      <c r="J138" s="150"/>
      <c r="K138" s="150" t="s">
        <v>235</v>
      </c>
      <c r="L138" s="97" t="s">
        <v>236</v>
      </c>
      <c r="M138" s="144">
        <f t="shared" si="18"/>
        <v>3.3333330000000001E-2</v>
      </c>
      <c r="N138" s="117"/>
      <c r="O138" s="117"/>
      <c r="P138" s="117"/>
      <c r="Q138" s="183"/>
    </row>
    <row r="139" spans="1:17" ht="15.6" x14ac:dyDescent="0.25">
      <c r="A139" s="203" t="s">
        <v>228</v>
      </c>
      <c r="B139" s="204" t="s">
        <v>224</v>
      </c>
      <c r="C139" s="139" t="s">
        <v>255</v>
      </c>
      <c r="D139" s="173">
        <v>2000</v>
      </c>
      <c r="E139" s="198">
        <v>5</v>
      </c>
      <c r="F139" s="152">
        <f t="shared" si="17"/>
        <v>0.13888887499999999</v>
      </c>
      <c r="G139" s="142" t="s">
        <v>124</v>
      </c>
      <c r="H139" s="153" t="s">
        <v>225</v>
      </c>
      <c r="I139" s="150" t="s">
        <v>226</v>
      </c>
      <c r="J139" s="150"/>
      <c r="K139" s="150" t="s">
        <v>215</v>
      </c>
      <c r="L139" s="97" t="s">
        <v>232</v>
      </c>
      <c r="M139" s="144">
        <f t="shared" si="18"/>
        <v>5.5555549999999995E-2</v>
      </c>
      <c r="N139" s="117"/>
      <c r="O139" s="117"/>
      <c r="P139" s="117"/>
      <c r="Q139" s="183"/>
    </row>
    <row r="140" spans="1:17" ht="15.6" x14ac:dyDescent="0.25">
      <c r="A140" s="203" t="s">
        <v>224</v>
      </c>
      <c r="B140" s="204" t="s">
        <v>221</v>
      </c>
      <c r="C140" s="139" t="s">
        <v>256</v>
      </c>
      <c r="D140" s="173">
        <v>1200</v>
      </c>
      <c r="E140" s="198">
        <v>11</v>
      </c>
      <c r="F140" s="152">
        <f t="shared" si="17"/>
        <v>0.30555552499999999</v>
      </c>
      <c r="G140" s="142" t="s">
        <v>169</v>
      </c>
      <c r="H140" s="153" t="s">
        <v>225</v>
      </c>
      <c r="I140" s="150" t="s">
        <v>226</v>
      </c>
      <c r="J140" s="150"/>
      <c r="K140" s="150" t="s">
        <v>215</v>
      </c>
      <c r="L140" s="97" t="s">
        <v>230</v>
      </c>
      <c r="M140" s="144">
        <f t="shared" si="18"/>
        <v>0.12222221</v>
      </c>
      <c r="N140" s="150"/>
      <c r="O140" s="117"/>
      <c r="P140" s="117"/>
      <c r="Q140" s="117"/>
    </row>
    <row r="141" spans="1:17" ht="15.6" x14ac:dyDescent="0.25">
      <c r="A141" s="203" t="s">
        <v>221</v>
      </c>
      <c r="B141" s="204" t="s">
        <v>220</v>
      </c>
      <c r="C141" s="139" t="s">
        <v>257</v>
      </c>
      <c r="D141" s="173">
        <v>1200</v>
      </c>
      <c r="E141" s="198">
        <v>6</v>
      </c>
      <c r="F141" s="152">
        <f t="shared" si="17"/>
        <v>0.16666665</v>
      </c>
      <c r="G141" s="142" t="s">
        <v>124</v>
      </c>
      <c r="H141" s="153" t="s">
        <v>213</v>
      </c>
      <c r="I141" s="150" t="s">
        <v>214</v>
      </c>
      <c r="J141" s="150"/>
      <c r="K141" s="150" t="s">
        <v>215</v>
      </c>
      <c r="L141" s="97" t="s">
        <v>227</v>
      </c>
      <c r="M141" s="144">
        <f t="shared" si="18"/>
        <v>6.6666660000000003E-2</v>
      </c>
      <c r="N141" s="117"/>
      <c r="O141" s="117"/>
      <c r="P141" s="117"/>
      <c r="Q141" s="117"/>
    </row>
    <row r="142" spans="1:17" ht="15.6" x14ac:dyDescent="0.25">
      <c r="A142" s="203" t="s">
        <v>220</v>
      </c>
      <c r="B142" s="197" t="s">
        <v>217</v>
      </c>
      <c r="C142" s="150" t="s">
        <v>239</v>
      </c>
      <c r="D142" s="173">
        <v>1200</v>
      </c>
      <c r="E142" s="198">
        <v>1.5</v>
      </c>
      <c r="F142" s="152">
        <f t="shared" si="17"/>
        <v>4.16666625E-2</v>
      </c>
      <c r="G142" s="142" t="s">
        <v>124</v>
      </c>
      <c r="H142" s="153" t="s">
        <v>213</v>
      </c>
      <c r="I142" s="150" t="s">
        <v>214</v>
      </c>
      <c r="J142" s="150"/>
      <c r="K142" s="150" t="s">
        <v>215</v>
      </c>
      <c r="L142" s="96" t="s">
        <v>223</v>
      </c>
      <c r="M142" s="144">
        <f t="shared" si="18"/>
        <v>1.6666665000000001E-2</v>
      </c>
      <c r="N142" s="117"/>
      <c r="O142" s="117"/>
      <c r="P142" s="117"/>
      <c r="Q142" s="117"/>
    </row>
    <row r="143" spans="1:17" ht="15.6" x14ac:dyDescent="0.25">
      <c r="A143" s="196" t="s">
        <v>217</v>
      </c>
      <c r="B143" s="197" t="s">
        <v>211</v>
      </c>
      <c r="C143" s="150" t="s">
        <v>239</v>
      </c>
      <c r="D143" s="178">
        <v>1200</v>
      </c>
      <c r="E143" s="198">
        <v>3.5</v>
      </c>
      <c r="F143" s="152">
        <f t="shared" si="17"/>
        <v>9.7222212500000002E-2</v>
      </c>
      <c r="G143" s="142" t="s">
        <v>124</v>
      </c>
      <c r="H143" s="153" t="s">
        <v>213</v>
      </c>
      <c r="I143" s="150" t="s">
        <v>214</v>
      </c>
      <c r="J143" s="150"/>
      <c r="K143" s="150"/>
      <c r="L143" s="96"/>
      <c r="M143" s="144">
        <f t="shared" si="18"/>
        <v>3.8888884999999998E-2</v>
      </c>
      <c r="N143" s="117"/>
      <c r="O143" s="117"/>
      <c r="P143" s="117"/>
      <c r="Q143" s="117"/>
    </row>
    <row r="144" spans="1:17" ht="15.6" x14ac:dyDescent="0.25">
      <c r="A144" s="196" t="s">
        <v>211</v>
      </c>
      <c r="B144" s="197" t="s">
        <v>209</v>
      </c>
      <c r="C144" s="150" t="s">
        <v>258</v>
      </c>
      <c r="D144" s="178">
        <v>1200</v>
      </c>
      <c r="E144" s="198">
        <v>4</v>
      </c>
      <c r="F144" s="152">
        <f t="shared" si="17"/>
        <v>0.1111111</v>
      </c>
      <c r="G144" s="142" t="s">
        <v>124</v>
      </c>
      <c r="H144" s="153" t="s">
        <v>213</v>
      </c>
      <c r="I144" s="150" t="s">
        <v>214</v>
      </c>
      <c r="J144" s="150"/>
      <c r="K144" s="150" t="s">
        <v>215</v>
      </c>
      <c r="L144" s="96" t="s">
        <v>219</v>
      </c>
      <c r="M144" s="144">
        <f t="shared" si="18"/>
        <v>4.4444440000000002E-2</v>
      </c>
      <c r="N144" s="117"/>
      <c r="O144" s="117"/>
      <c r="P144" s="117"/>
      <c r="Q144" s="117"/>
    </row>
    <row r="145" spans="1:17" ht="15.6" x14ac:dyDescent="0.25">
      <c r="A145" s="196" t="s">
        <v>209</v>
      </c>
      <c r="B145" s="197" t="s">
        <v>205</v>
      </c>
      <c r="C145" s="150" t="s">
        <v>256</v>
      </c>
      <c r="D145" s="178">
        <v>1200</v>
      </c>
      <c r="E145" s="198">
        <v>7</v>
      </c>
      <c r="F145" s="152">
        <f t="shared" si="17"/>
        <v>0.194444425</v>
      </c>
      <c r="G145" s="142" t="s">
        <v>124</v>
      </c>
      <c r="H145" s="153" t="s">
        <v>205</v>
      </c>
      <c r="I145" s="150" t="s">
        <v>206</v>
      </c>
      <c r="J145" s="150" t="s">
        <v>207</v>
      </c>
      <c r="K145" s="150" t="s">
        <v>215</v>
      </c>
      <c r="L145" s="96" t="s">
        <v>216</v>
      </c>
      <c r="M145" s="144">
        <f t="shared" si="18"/>
        <v>7.7777769999999996E-2</v>
      </c>
      <c r="N145" s="117"/>
      <c r="O145" s="117"/>
      <c r="P145" s="117"/>
      <c r="Q145" s="117"/>
    </row>
    <row r="146" spans="1:17" ht="15.6" x14ac:dyDescent="0.25">
      <c r="A146" s="196" t="s">
        <v>205</v>
      </c>
      <c r="B146" s="197" t="s">
        <v>203</v>
      </c>
      <c r="C146" s="150" t="s">
        <v>259</v>
      </c>
      <c r="D146" s="178">
        <v>800</v>
      </c>
      <c r="E146" s="198">
        <v>2</v>
      </c>
      <c r="F146" s="152">
        <f t="shared" si="17"/>
        <v>5.5555550000000002E-2</v>
      </c>
      <c r="G146" s="142" t="s">
        <v>169</v>
      </c>
      <c r="H146" s="153" t="s">
        <v>205</v>
      </c>
      <c r="I146" s="150" t="s">
        <v>206</v>
      </c>
      <c r="J146" s="150" t="s">
        <v>207</v>
      </c>
      <c r="K146" s="150"/>
      <c r="L146" s="96"/>
      <c r="M146" s="144">
        <f t="shared" si="18"/>
        <v>2.2222220000000001E-2</v>
      </c>
      <c r="N146" s="117"/>
      <c r="O146" s="117"/>
      <c r="P146" s="117"/>
      <c r="Q146" s="117"/>
    </row>
    <row r="147" spans="1:17" ht="16.2" thickBot="1" x14ac:dyDescent="0.3">
      <c r="A147" s="196" t="s">
        <v>203</v>
      </c>
      <c r="B147" s="197" t="s">
        <v>94</v>
      </c>
      <c r="C147" s="150" t="s">
        <v>259</v>
      </c>
      <c r="D147" s="178">
        <v>800</v>
      </c>
      <c r="E147" s="198">
        <v>3</v>
      </c>
      <c r="F147" s="152">
        <f t="shared" si="17"/>
        <v>8.3333325E-2</v>
      </c>
      <c r="G147" s="142" t="s">
        <v>124</v>
      </c>
      <c r="H147" s="153" t="s">
        <v>94</v>
      </c>
      <c r="I147" s="150" t="s">
        <v>119</v>
      </c>
      <c r="J147" s="150" t="s">
        <v>120</v>
      </c>
      <c r="K147" s="139"/>
      <c r="L147" s="96"/>
      <c r="M147" s="144">
        <f t="shared" si="18"/>
        <v>3.3333330000000001E-2</v>
      </c>
      <c r="N147" s="117"/>
      <c r="O147" s="117"/>
      <c r="P147" s="117"/>
      <c r="Q147" s="117"/>
    </row>
    <row r="148" spans="1:17" ht="16.8" thickTop="1" thickBot="1" x14ac:dyDescent="0.3">
      <c r="A148" s="180"/>
      <c r="B148" s="162"/>
      <c r="C148" s="162"/>
      <c r="D148" s="163" t="s">
        <v>3</v>
      </c>
      <c r="E148" s="199">
        <f>SUM(E134:E147)</f>
        <v>65.5</v>
      </c>
      <c r="F148" s="165">
        <f>SUM(F134:F147)</f>
        <v>1.8194442624999998</v>
      </c>
      <c r="G148" s="162"/>
      <c r="H148" s="162"/>
      <c r="I148" s="162"/>
      <c r="J148" s="162"/>
      <c r="K148" s="166" t="s">
        <v>159</v>
      </c>
      <c r="L148" s="162"/>
      <c r="M148" s="167">
        <f>SUM(M134:M147,$Q$3:$Q$4,$Q$6)</f>
        <v>9.827777704999999</v>
      </c>
      <c r="N148" s="117"/>
      <c r="O148" s="117"/>
      <c r="P148" s="117"/>
      <c r="Q148" s="117"/>
    </row>
    <row r="149" spans="1:17" ht="16.8" thickTop="1" thickBot="1" x14ac:dyDescent="0.3">
      <c r="A149" s="156"/>
      <c r="B149" s="156"/>
      <c r="C149" s="156"/>
      <c r="D149" s="146"/>
      <c r="E149" s="146"/>
      <c r="F149" s="146"/>
      <c r="G149" s="146"/>
      <c r="H149" s="156"/>
      <c r="I149" s="156"/>
      <c r="J149" s="156"/>
      <c r="K149" s="168" t="s">
        <v>160</v>
      </c>
      <c r="L149" s="146"/>
      <c r="M149" s="181">
        <f>M130</f>
        <v>14.650000074999999</v>
      </c>
      <c r="N149" s="117"/>
      <c r="O149" s="117"/>
      <c r="P149" s="117"/>
      <c r="Q149" s="117"/>
    </row>
    <row r="150" spans="1:17" ht="16.8" thickTop="1" thickBot="1" x14ac:dyDescent="0.3">
      <c r="A150" s="156"/>
      <c r="B150" s="156"/>
      <c r="C150" s="156"/>
      <c r="D150" s="146"/>
      <c r="E150" s="184" t="s">
        <v>190</v>
      </c>
      <c r="F150" s="290" t="s">
        <v>191</v>
      </c>
      <c r="G150" s="291"/>
      <c r="H150" s="185" t="s">
        <v>192</v>
      </c>
      <c r="I150" s="186" t="s">
        <v>193</v>
      </c>
      <c r="J150" s="117"/>
      <c r="K150" s="166" t="s">
        <v>161</v>
      </c>
      <c r="L150" s="170"/>
      <c r="M150" s="167">
        <f>M149-M148</f>
        <v>4.8222223700000004</v>
      </c>
      <c r="N150" s="117"/>
      <c r="O150" s="117"/>
      <c r="P150" s="117"/>
      <c r="Q150" s="117"/>
    </row>
    <row r="151" spans="1:17" ht="16.8" thickTop="1" thickBot="1" x14ac:dyDescent="0.3">
      <c r="A151" s="117"/>
      <c r="B151" s="117"/>
      <c r="C151" s="117"/>
      <c r="D151" s="187" t="s">
        <v>194</v>
      </c>
      <c r="E151" s="205">
        <f>SUM(E128,E148)</f>
        <v>133</v>
      </c>
      <c r="F151" s="288">
        <f>SUM(F128,F148)/60</f>
        <v>6.1574067916666655E-2</v>
      </c>
      <c r="G151" s="289"/>
      <c r="H151" s="189">
        <f>SUM(M128,M148)</f>
        <v>19.677777630000001</v>
      </c>
      <c r="I151" s="190">
        <f>SUM(H151,Q117)</f>
        <v>25.677777630000001</v>
      </c>
      <c r="J151" s="117"/>
      <c r="K151" s="117"/>
      <c r="L151" s="117"/>
      <c r="M151" s="117"/>
      <c r="N151" s="117"/>
      <c r="O151" s="117"/>
      <c r="P151" s="117"/>
      <c r="Q151" s="117"/>
    </row>
    <row r="152" spans="1:17" ht="16.2" thickTop="1" x14ac:dyDescent="0.25">
      <c r="A152" s="191" t="s">
        <v>195</v>
      </c>
      <c r="B152" s="117"/>
      <c r="C152" s="117"/>
      <c r="D152" s="117"/>
      <c r="E152" s="117"/>
      <c r="F152" s="117"/>
      <c r="G152" s="117"/>
      <c r="H152" s="117"/>
      <c r="I152" s="117"/>
      <c r="J152" s="117"/>
      <c r="K152" s="117"/>
      <c r="L152" s="117"/>
      <c r="M152" s="117"/>
      <c r="N152" s="117"/>
      <c r="O152" s="117"/>
      <c r="P152" s="117"/>
      <c r="Q152" s="117"/>
    </row>
    <row r="153" spans="1:17" ht="15.6" x14ac:dyDescent="0.25">
      <c r="A153" s="156"/>
      <c r="B153" s="117"/>
      <c r="C153" s="117"/>
      <c r="D153" s="117"/>
      <c r="E153" s="117"/>
      <c r="F153" s="117"/>
      <c r="G153" s="117"/>
      <c r="H153" s="117"/>
      <c r="I153" s="117"/>
      <c r="J153" s="117"/>
      <c r="K153" s="117"/>
      <c r="L153" s="117"/>
      <c r="M153" s="117"/>
      <c r="N153" s="117"/>
      <c r="O153" s="117"/>
      <c r="P153" s="117"/>
      <c r="Q153" s="117"/>
    </row>
  </sheetData>
  <mergeCells count="8">
    <mergeCell ref="F107:G107"/>
    <mergeCell ref="F150:G150"/>
    <mergeCell ref="F151:G151"/>
    <mergeCell ref="F44:G44"/>
    <mergeCell ref="F45:G45"/>
    <mergeCell ref="F75:G75"/>
    <mergeCell ref="F74:G74"/>
    <mergeCell ref="F106:G106"/>
  </mergeCells>
  <pageMargins left="0.70866141732283472" right="0.70866141732283472" top="0.74803149606299213" bottom="0.74803149606299213" header="0.31496062992125984" footer="0.31496062992125984"/>
  <pageSetup paperSize="9" scale="2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1:N32"/>
  <sheetViews>
    <sheetView rightToLeft="1" workbookViewId="0">
      <selection activeCell="B5" sqref="B5"/>
    </sheetView>
  </sheetViews>
  <sheetFormatPr defaultColWidth="9" defaultRowHeight="13.8" x14ac:dyDescent="0.25"/>
  <cols>
    <col min="1" max="1" width="22" style="12" customWidth="1"/>
    <col min="2" max="2" width="11.3984375" style="12" bestFit="1" customWidth="1"/>
    <col min="3" max="5" width="9" style="12"/>
    <col min="6" max="6" width="24.3984375" style="12" bestFit="1" customWidth="1"/>
    <col min="7" max="8" width="9" style="12"/>
    <col min="9" max="9" width="0" style="12" hidden="1" customWidth="1"/>
    <col min="10" max="11" width="9" style="12" hidden="1" customWidth="1"/>
    <col min="12" max="12" width="9" style="12"/>
    <col min="13" max="13" width="23.8984375" style="12" customWidth="1"/>
    <col min="14" max="16384" width="9" style="12"/>
  </cols>
  <sheetData>
    <row r="1" spans="1:14" x14ac:dyDescent="0.25">
      <c r="A1" s="49" t="s">
        <v>2</v>
      </c>
      <c r="B1" s="50" t="s">
        <v>12</v>
      </c>
      <c r="C1" s="50" t="s">
        <v>8</v>
      </c>
      <c r="D1" s="50" t="s">
        <v>9</v>
      </c>
      <c r="E1" s="10"/>
      <c r="F1" s="10"/>
      <c r="G1" s="10"/>
      <c r="H1" s="10"/>
      <c r="I1" s="10"/>
      <c r="J1" s="76" t="s">
        <v>39</v>
      </c>
      <c r="K1" s="10"/>
      <c r="L1" s="11"/>
      <c r="M1" s="13"/>
      <c r="N1" s="13"/>
    </row>
    <row r="2" spans="1:14" ht="14.4" thickBot="1" x14ac:dyDescent="0.3">
      <c r="A2" s="51" t="s">
        <v>13</v>
      </c>
      <c r="B2" s="39">
        <f>'נתוני מטוסים'!B14</f>
        <v>1477</v>
      </c>
      <c r="C2" s="40">
        <f>'נתוני מטוסים'!B3</f>
        <v>40.700000000000003</v>
      </c>
      <c r="D2" s="41">
        <f>C2*B2</f>
        <v>60113.9</v>
      </c>
      <c r="E2" s="13"/>
      <c r="F2" s="13"/>
      <c r="G2" s="13"/>
      <c r="H2" s="13"/>
      <c r="I2" s="13"/>
      <c r="J2" s="1">
        <f>B3+B4</f>
        <v>336</v>
      </c>
      <c r="K2" s="13"/>
      <c r="L2" s="14"/>
      <c r="M2" s="13"/>
      <c r="N2" s="13"/>
    </row>
    <row r="3" spans="1:14" ht="15" thickTop="1" thickBot="1" x14ac:dyDescent="0.3">
      <c r="A3" s="77" t="s">
        <v>75</v>
      </c>
      <c r="B3" s="5">
        <v>165</v>
      </c>
      <c r="C3" s="42">
        <f>'נתוני מטוסים'!B5</f>
        <v>37</v>
      </c>
      <c r="D3" s="41">
        <f>C3*B3</f>
        <v>6105</v>
      </c>
      <c r="E3" s="13"/>
      <c r="F3" s="13"/>
      <c r="G3" s="13"/>
      <c r="H3" s="13"/>
      <c r="I3" s="13"/>
      <c r="J3" s="1" t="s">
        <v>38</v>
      </c>
      <c r="K3" s="13"/>
      <c r="L3" s="14"/>
      <c r="M3" s="13"/>
      <c r="N3" s="13"/>
    </row>
    <row r="4" spans="1:14" ht="15" thickTop="1" thickBot="1" x14ac:dyDescent="0.3">
      <c r="A4" s="77" t="s">
        <v>76</v>
      </c>
      <c r="B4" s="5">
        <v>171</v>
      </c>
      <c r="C4" s="42">
        <f>'נתוני מטוסים'!B5</f>
        <v>37</v>
      </c>
      <c r="D4" s="41">
        <f>B4*C4</f>
        <v>6327</v>
      </c>
      <c r="E4" s="13"/>
      <c r="F4" s="13"/>
      <c r="G4" s="13"/>
      <c r="H4" s="13"/>
      <c r="I4" s="13"/>
      <c r="J4" s="1">
        <f>B5+B6</f>
        <v>0</v>
      </c>
      <c r="K4" s="13"/>
      <c r="L4" s="14"/>
      <c r="M4" s="13"/>
      <c r="N4" s="13"/>
    </row>
    <row r="5" spans="1:14" ht="15" thickTop="1" thickBot="1" x14ac:dyDescent="0.3">
      <c r="A5" s="78" t="s">
        <v>77</v>
      </c>
      <c r="B5" s="5"/>
      <c r="C5" s="42">
        <f>'נתוני מטוסים'!B6</f>
        <v>73</v>
      </c>
      <c r="D5" s="41">
        <f>B5*C5</f>
        <v>0</v>
      </c>
      <c r="E5" s="13"/>
      <c r="F5" s="13"/>
      <c r="G5" s="13"/>
      <c r="H5" s="13"/>
      <c r="I5" s="13"/>
      <c r="J5" s="1" t="s">
        <v>37</v>
      </c>
      <c r="K5" s="13"/>
      <c r="L5" s="14"/>
      <c r="M5" s="13"/>
      <c r="N5" s="13"/>
    </row>
    <row r="6" spans="1:14" ht="15" thickTop="1" thickBot="1" x14ac:dyDescent="0.3">
      <c r="A6" s="78" t="s">
        <v>78</v>
      </c>
      <c r="B6" s="5"/>
      <c r="C6" s="42">
        <f>'נתוני מטוסים'!B6</f>
        <v>73</v>
      </c>
      <c r="D6" s="41">
        <f>C6*B6</f>
        <v>0</v>
      </c>
      <c r="E6" s="13"/>
      <c r="F6" s="13"/>
      <c r="G6" s="13"/>
      <c r="H6" s="13"/>
      <c r="I6" s="13"/>
      <c r="J6" s="65">
        <f>B9/2</f>
        <v>22.5</v>
      </c>
      <c r="K6" s="13"/>
      <c r="L6" s="14"/>
      <c r="M6" s="13"/>
      <c r="N6" s="13"/>
    </row>
    <row r="7" spans="1:14" ht="15" thickTop="1" thickBot="1" x14ac:dyDescent="0.3">
      <c r="A7" s="79" t="s">
        <v>79</v>
      </c>
      <c r="B7" s="5">
        <v>0</v>
      </c>
      <c r="C7" s="42">
        <f>'נתוני מטוסים'!B7</f>
        <v>95</v>
      </c>
      <c r="D7" s="41">
        <f>B7*C7</f>
        <v>0</v>
      </c>
      <c r="E7" s="294"/>
      <c r="F7" s="295"/>
      <c r="G7" s="13"/>
      <c r="H7" s="13"/>
      <c r="I7" s="13"/>
      <c r="J7" s="1" t="s">
        <v>36</v>
      </c>
      <c r="K7" s="13"/>
      <c r="L7" s="14"/>
      <c r="M7" s="13"/>
      <c r="N7" s="13"/>
    </row>
    <row r="8" spans="1:14" ht="15" thickTop="1" thickBot="1" x14ac:dyDescent="0.3">
      <c r="A8" s="80" t="s">
        <v>80</v>
      </c>
      <c r="B8" s="5">
        <v>0</v>
      </c>
      <c r="C8" s="42">
        <f>'נתוני מטוסים'!B8</f>
        <v>123</v>
      </c>
      <c r="D8" s="41">
        <f>C8*B8</f>
        <v>0</v>
      </c>
      <c r="E8" s="13"/>
      <c r="F8" s="43"/>
      <c r="G8" s="13"/>
      <c r="H8" s="13"/>
      <c r="I8" s="13"/>
      <c r="J8" s="1">
        <f>'נתוני מטוסים'!B18</f>
        <v>62</v>
      </c>
      <c r="K8" s="13"/>
      <c r="L8" s="14"/>
      <c r="M8" s="13"/>
      <c r="N8" s="13"/>
    </row>
    <row r="9" spans="1:14" ht="15" thickTop="1" thickBot="1" x14ac:dyDescent="0.3">
      <c r="A9" s="52" t="s">
        <v>14</v>
      </c>
      <c r="B9" s="5">
        <v>45</v>
      </c>
      <c r="C9" s="42">
        <f>'נתוני מטוסים'!B4</f>
        <v>48</v>
      </c>
      <c r="D9" s="41">
        <f>C9*B9*6</f>
        <v>12960</v>
      </c>
      <c r="E9" s="13"/>
      <c r="F9" s="43"/>
      <c r="G9" s="13"/>
      <c r="H9" s="13"/>
      <c r="I9" s="13"/>
      <c r="J9" s="1" t="s">
        <v>40</v>
      </c>
      <c r="K9" s="13"/>
      <c r="L9" s="14"/>
      <c r="M9" s="13"/>
      <c r="N9" s="13"/>
    </row>
    <row r="10" spans="1:14" ht="15" thickTop="1" x14ac:dyDescent="0.2">
      <c r="A10" s="15"/>
      <c r="B10" s="13"/>
      <c r="C10" s="13"/>
      <c r="D10" s="13"/>
      <c r="E10" s="295"/>
      <c r="F10" s="296"/>
      <c r="G10" s="13"/>
      <c r="H10" s="13"/>
      <c r="I10" s="13"/>
      <c r="J10" s="65">
        <f>'נתוני מטוסים'!B16</f>
        <v>120</v>
      </c>
      <c r="K10" s="13"/>
      <c r="L10" s="14"/>
      <c r="M10" s="13"/>
      <c r="N10" s="13"/>
    </row>
    <row r="11" spans="1:14" x14ac:dyDescent="0.25">
      <c r="A11" s="292" t="s">
        <v>19</v>
      </c>
      <c r="B11" s="293"/>
      <c r="C11" s="13"/>
      <c r="D11" s="13"/>
      <c r="E11" s="13"/>
      <c r="F11" s="13"/>
      <c r="G11" s="13"/>
      <c r="H11" s="13"/>
      <c r="I11" s="13"/>
      <c r="J11" s="1" t="s">
        <v>41</v>
      </c>
      <c r="K11" s="13"/>
      <c r="L11" s="14"/>
      <c r="M11" s="13"/>
      <c r="N11" s="13"/>
    </row>
    <row r="12" spans="1:14" x14ac:dyDescent="0.25">
      <c r="A12" s="53" t="s">
        <v>20</v>
      </c>
      <c r="B12" s="45">
        <f>SUM(D2:D9)/B13</f>
        <v>41.049399903984636</v>
      </c>
      <c r="C12" s="13"/>
      <c r="D12" s="13"/>
      <c r="E12" s="13"/>
      <c r="F12" s="13"/>
      <c r="G12" s="13"/>
      <c r="H12" s="13"/>
      <c r="I12" s="13"/>
      <c r="J12" s="65">
        <f>'נתוני מטוסים'!B17</f>
        <v>50</v>
      </c>
      <c r="K12" s="13"/>
      <c r="L12" s="14"/>
      <c r="M12" s="13"/>
      <c r="N12" s="13"/>
    </row>
    <row r="13" spans="1:14" x14ac:dyDescent="0.25">
      <c r="A13" s="54" t="s">
        <v>15</v>
      </c>
      <c r="B13" s="40">
        <f>B2+(B9*6)+(SUM(B3:B8))</f>
        <v>2083</v>
      </c>
      <c r="C13" s="13"/>
      <c r="D13" s="13"/>
      <c r="E13" s="13"/>
      <c r="F13" s="13"/>
      <c r="G13" s="13"/>
      <c r="H13" s="13"/>
      <c r="I13" s="13"/>
      <c r="J13" s="13" t="s">
        <v>64</v>
      </c>
      <c r="K13" s="13"/>
      <c r="L13" s="14"/>
      <c r="M13" s="13"/>
      <c r="N13" s="13"/>
    </row>
    <row r="14" spans="1:14" ht="14.25" x14ac:dyDescent="0.2">
      <c r="A14" s="15"/>
      <c r="B14" s="13"/>
      <c r="C14" s="13"/>
      <c r="D14" s="13"/>
      <c r="E14" s="13"/>
      <c r="F14" s="13"/>
      <c r="G14" s="13"/>
      <c r="H14" s="13"/>
      <c r="I14" s="13"/>
      <c r="J14" s="13">
        <f>J8/4</f>
        <v>15.5</v>
      </c>
      <c r="K14" s="13"/>
      <c r="L14" s="14"/>
      <c r="M14" s="13"/>
      <c r="N14" s="13"/>
    </row>
    <row r="15" spans="1:14" x14ac:dyDescent="0.25">
      <c r="A15" s="55" t="s">
        <v>18</v>
      </c>
      <c r="B15" s="56"/>
      <c r="C15" s="13"/>
      <c r="D15" s="13"/>
      <c r="E15" s="13"/>
      <c r="F15" s="13"/>
      <c r="G15" s="13"/>
      <c r="H15" s="13"/>
      <c r="I15" s="13"/>
      <c r="J15" s="13"/>
      <c r="K15" s="13"/>
      <c r="L15" s="14"/>
      <c r="M15" s="13"/>
      <c r="N15" s="13"/>
    </row>
    <row r="16" spans="1:14" ht="15" x14ac:dyDescent="0.25">
      <c r="A16" s="57" t="str">
        <f>IF(B12&gt;'נתוני מטוסים'!B9,"חרגת ממגבלת מרכז כובד אחורי",IF(B12&lt;'נתוני מטוסים'!B10,"חרגת ממגבלת מרכז כובד קדמי","מרכז כובד תקין"))</f>
        <v>מרכז כובד תקין</v>
      </c>
      <c r="B16" s="56"/>
      <c r="C16" s="13"/>
      <c r="D16" s="13"/>
      <c r="E16" s="13"/>
      <c r="F16" s="13"/>
      <c r="G16" s="13"/>
      <c r="H16" s="13"/>
      <c r="I16" s="13"/>
      <c r="J16" s="13"/>
      <c r="K16" s="13"/>
      <c r="L16" s="14"/>
      <c r="M16" s="13"/>
      <c r="N16" s="13"/>
    </row>
    <row r="17" spans="1:14" ht="15" x14ac:dyDescent="0.25">
      <c r="A17" s="57" t="str">
        <f>IF(B13&gt;'נתוני מטוסים'!B13,"חרגת מהמשקל המקסימלי","משקל המראה תקין")</f>
        <v>משקל המראה תקין</v>
      </c>
      <c r="B17" s="56"/>
      <c r="C17" s="13"/>
      <c r="D17" s="13"/>
      <c r="E17" s="13"/>
      <c r="F17" s="13"/>
      <c r="G17" s="13"/>
      <c r="H17" s="13"/>
      <c r="I17" s="13"/>
      <c r="J17" s="13"/>
      <c r="K17" s="13"/>
      <c r="L17" s="14"/>
      <c r="M17" s="13"/>
      <c r="N17" s="13"/>
    </row>
    <row r="18" spans="1:14" ht="15" x14ac:dyDescent="0.25">
      <c r="A18" s="57" t="str">
        <f>IF(B9&lt;J14,"יש פחות מרבע טנק דלק","יש מעל רבע טנק דלק")</f>
        <v>יש מעל רבע טנק דלק</v>
      </c>
      <c r="B18" s="13"/>
      <c r="C18" s="13"/>
      <c r="D18" s="13"/>
      <c r="E18" s="13"/>
      <c r="F18" s="13"/>
      <c r="G18" s="13"/>
      <c r="H18" s="13"/>
      <c r="I18" s="13"/>
      <c r="J18" s="13"/>
      <c r="K18" s="13"/>
      <c r="L18" s="14"/>
      <c r="M18" s="13"/>
      <c r="N18" s="13"/>
    </row>
    <row r="19" spans="1:14" ht="15" x14ac:dyDescent="0.25">
      <c r="A19" s="57" t="str">
        <f>IF(SUM('משקל ואיזון CHV'!B7:B8)&gt;'נתוני מטוסים'!B15, "חריגה במשקל תאי המטען","משקל תאי מטען תקין")</f>
        <v>משקל תאי מטען תקין</v>
      </c>
      <c r="B19" s="13"/>
      <c r="C19" s="13"/>
      <c r="D19" s="13"/>
      <c r="E19" s="13"/>
      <c r="F19" s="13"/>
      <c r="G19" s="13"/>
      <c r="H19" s="13"/>
      <c r="I19" s="13"/>
      <c r="J19" s="13"/>
      <c r="K19" s="46"/>
      <c r="L19" s="14"/>
      <c r="M19" s="13"/>
      <c r="N19" s="13"/>
    </row>
    <row r="20" spans="1:14" ht="14.25" x14ac:dyDescent="0.2">
      <c r="A20" s="15"/>
      <c r="B20" s="13"/>
      <c r="C20" s="13"/>
      <c r="D20" s="13"/>
      <c r="E20" s="13"/>
      <c r="F20" s="13"/>
      <c r="G20" s="13"/>
      <c r="H20" s="13"/>
      <c r="I20" s="13"/>
      <c r="J20" s="13"/>
      <c r="K20" s="13"/>
      <c r="L20" s="14"/>
      <c r="M20" s="13"/>
      <c r="N20" s="13"/>
    </row>
    <row r="21" spans="1:14" ht="14.25" x14ac:dyDescent="0.2">
      <c r="A21" s="85" t="s">
        <v>72</v>
      </c>
      <c r="B21" s="13"/>
      <c r="C21" s="13"/>
      <c r="D21" s="13"/>
      <c r="E21" s="13"/>
      <c r="F21" s="13"/>
      <c r="G21" s="13"/>
      <c r="H21" s="13"/>
      <c r="I21" s="13"/>
      <c r="J21" s="13"/>
      <c r="K21" s="13"/>
      <c r="L21" s="14"/>
      <c r="M21" s="13"/>
      <c r="N21" s="13"/>
    </row>
    <row r="22" spans="1:14" ht="15" x14ac:dyDescent="0.25">
      <c r="A22" s="81">
        <f>'נתוני מטוסים'!B13</f>
        <v>2400</v>
      </c>
      <c r="B22" s="13"/>
      <c r="C22" s="13"/>
      <c r="D22" s="13"/>
      <c r="E22" s="13"/>
      <c r="F22" s="13"/>
      <c r="G22" s="13"/>
      <c r="H22" s="13"/>
      <c r="I22" s="13"/>
      <c r="J22" s="13"/>
      <c r="K22" s="13"/>
      <c r="L22" s="14"/>
      <c r="M22" s="13"/>
      <c r="N22" s="13"/>
    </row>
    <row r="23" spans="1:14" ht="14.25" x14ac:dyDescent="0.2">
      <c r="A23" s="15"/>
      <c r="B23" s="13"/>
      <c r="C23" s="13"/>
      <c r="D23" s="13"/>
      <c r="E23" s="13"/>
      <c r="F23" s="13"/>
      <c r="G23" s="13"/>
      <c r="H23" s="13"/>
      <c r="I23" s="13"/>
      <c r="J23" s="13"/>
      <c r="K23" s="13"/>
      <c r="L23" s="14"/>
      <c r="M23" s="13"/>
      <c r="N23" s="13"/>
    </row>
    <row r="24" spans="1:14" ht="14.25" x14ac:dyDescent="0.2">
      <c r="A24" s="15"/>
      <c r="B24" s="13"/>
      <c r="C24" s="13"/>
      <c r="D24" s="13"/>
      <c r="E24" s="13"/>
      <c r="F24" s="13"/>
      <c r="G24" s="13"/>
      <c r="H24" s="13"/>
      <c r="I24" s="13"/>
      <c r="J24" s="13"/>
      <c r="K24" s="13"/>
      <c r="L24" s="14"/>
      <c r="M24" s="13"/>
      <c r="N24" s="13"/>
    </row>
    <row r="25" spans="1:14" ht="14.25" x14ac:dyDescent="0.2">
      <c r="A25" s="15"/>
      <c r="B25" s="13"/>
      <c r="C25" s="13"/>
      <c r="D25" s="13"/>
      <c r="E25" s="13"/>
      <c r="F25" s="13"/>
      <c r="G25" s="13"/>
      <c r="H25" s="13"/>
      <c r="I25" s="13"/>
      <c r="J25" s="13"/>
      <c r="K25" s="13"/>
      <c r="L25" s="14"/>
      <c r="M25" s="13"/>
      <c r="N25" s="13"/>
    </row>
    <row r="26" spans="1:14" ht="14.25" x14ac:dyDescent="0.2">
      <c r="A26" s="15"/>
      <c r="B26" s="13"/>
      <c r="C26" s="13"/>
      <c r="D26" s="13"/>
      <c r="E26" s="13"/>
      <c r="F26" s="13"/>
      <c r="G26" s="13"/>
      <c r="H26" s="13"/>
      <c r="I26" s="13"/>
      <c r="J26" s="13"/>
      <c r="K26" s="13"/>
      <c r="L26" s="14"/>
      <c r="M26" s="13"/>
      <c r="N26" s="13"/>
    </row>
    <row r="27" spans="1:14" ht="14.25" x14ac:dyDescent="0.2">
      <c r="A27" s="15"/>
      <c r="B27" s="13"/>
      <c r="C27" s="13"/>
      <c r="D27" s="13"/>
      <c r="E27" s="13"/>
      <c r="F27" s="13"/>
      <c r="G27" s="13"/>
      <c r="H27" s="13"/>
      <c r="I27" s="13"/>
      <c r="J27" s="13"/>
      <c r="K27" s="13"/>
      <c r="L27" s="14"/>
      <c r="M27" s="13"/>
      <c r="N27" s="13"/>
    </row>
    <row r="28" spans="1:14" ht="14.25" x14ac:dyDescent="0.2">
      <c r="A28" s="15"/>
      <c r="B28" s="13"/>
      <c r="C28" s="13"/>
      <c r="D28" s="13"/>
      <c r="E28" s="13"/>
      <c r="F28" s="13"/>
      <c r="G28" s="13"/>
      <c r="H28" s="13"/>
      <c r="I28" s="13"/>
      <c r="J28" s="13"/>
      <c r="K28" s="13"/>
      <c r="L28" s="14"/>
      <c r="M28" s="13"/>
      <c r="N28" s="13"/>
    </row>
    <row r="29" spans="1:14" ht="15" thickBot="1" x14ac:dyDescent="0.25">
      <c r="A29" s="15"/>
      <c r="B29" s="13"/>
      <c r="C29" s="13"/>
      <c r="D29" s="13"/>
      <c r="E29" s="13"/>
      <c r="F29" s="13"/>
      <c r="G29" s="13"/>
      <c r="H29" s="13"/>
      <c r="I29" s="13"/>
      <c r="J29" s="13"/>
      <c r="K29" s="13"/>
      <c r="L29" s="14"/>
      <c r="M29" s="13"/>
      <c r="N29" s="13"/>
    </row>
    <row r="30" spans="1:14" ht="15.6" x14ac:dyDescent="0.3">
      <c r="A30" s="73" t="s">
        <v>83</v>
      </c>
      <c r="B30" s="10"/>
      <c r="C30" s="10"/>
      <c r="D30" s="10"/>
      <c r="E30" s="10"/>
      <c r="F30" s="10"/>
      <c r="G30" s="11"/>
      <c r="H30" s="13"/>
      <c r="I30" s="13"/>
      <c r="J30" s="13"/>
      <c r="K30" s="13"/>
      <c r="L30" s="14"/>
      <c r="M30" s="13"/>
      <c r="N30" s="13"/>
    </row>
    <row r="31" spans="1:14" ht="15.6" x14ac:dyDescent="0.3">
      <c r="A31" s="72" t="s">
        <v>84</v>
      </c>
      <c r="B31" s="13"/>
      <c r="C31" s="13"/>
      <c r="D31" s="13"/>
      <c r="E31" s="13"/>
      <c r="F31" s="13"/>
      <c r="G31" s="14"/>
      <c r="H31" s="13"/>
      <c r="I31" s="13"/>
      <c r="J31" s="13"/>
      <c r="K31" s="13"/>
      <c r="L31" s="14"/>
      <c r="M31" s="13"/>
      <c r="N31" s="13"/>
    </row>
    <row r="32" spans="1:14" ht="16.2" thickBot="1" x14ac:dyDescent="0.35">
      <c r="A32" s="74" t="s">
        <v>86</v>
      </c>
      <c r="B32" s="16"/>
      <c r="C32" s="16"/>
      <c r="D32" s="16"/>
      <c r="E32" s="16"/>
      <c r="F32" s="16"/>
      <c r="G32" s="17"/>
      <c r="H32" s="16"/>
      <c r="I32" s="16"/>
      <c r="J32" s="16"/>
      <c r="K32" s="16"/>
      <c r="L32" s="17"/>
      <c r="M32" s="13"/>
      <c r="N32" s="13"/>
    </row>
  </sheetData>
  <sheetProtection algorithmName="SHA-512" hashValue="9YtH/1kSC1ZVrsb4L/pBM28Tbpkia/3fJtFh5TRkmPaUAdLkxRn+UZBYBC3gVqytmNpVbNwkfwKy7CW6BU6MDQ==" saltValue="Gg+yZF/JS5hv+EkFuuTQqg==" spinCount="100000" sheet="1" objects="1" scenarios="1" selectLockedCells="1"/>
  <dataConsolidate/>
  <mergeCells count="3">
    <mergeCell ref="A11:B11"/>
    <mergeCell ref="E7:F7"/>
    <mergeCell ref="E10:F10"/>
  </mergeCells>
  <conditionalFormatting sqref="A17">
    <cfRule type="containsText" dxfId="20" priority="3" operator="containsText" text="חרגת מהמשקל המקסימלי">
      <formula>NOT(ISERROR(SEARCH("חרגת מהמשקל המקסימלי",A17)))</formula>
    </cfRule>
  </conditionalFormatting>
  <conditionalFormatting sqref="A18">
    <cfRule type="containsText" dxfId="19" priority="2" operator="containsText" text="יש פחות מרבע טנק דלק">
      <formula>NOT(ISERROR(SEARCH("יש פחות מרבע טנק דלק",A18)))</formula>
    </cfRule>
  </conditionalFormatting>
  <conditionalFormatting sqref="A19">
    <cfRule type="cellIs" dxfId="18" priority="1" operator="equal">
      <formula>"חריגה במשקל תאי המטען"</formula>
    </cfRule>
  </conditionalFormatting>
  <dataValidations count="4">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9">
      <formula1>1</formula1>
      <formula2>J8</formula2>
    </dataValidation>
    <dataValidation type="whole" allowBlank="1" showErrorMessage="1" errorTitle="הזנה שגויה" error="יש להזין מספרים בלבד בטווח שתואם את מגבלות המטוס. את נתוני המטוס ומגבלותיו ניתן למצוא בלשונית &quot;נתוני מטוסים&quot;" promptTitle="הזן משקל מטען אחרי בק&quot;ג" sqref="B8">
      <formula1>0</formula1>
      <formula2>J12</formula2>
    </dataValidation>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7">
      <formula1>0</formula1>
      <formula2>J10</formula2>
    </dataValidation>
    <dataValidation type="whole" allowBlank="1" showInputMessage="1" showErrorMessage="1" sqref="B2">
      <formula1>1</formula1>
      <formula2>2400</formula2>
    </dataValidation>
  </dataValidations>
  <pageMargins left="0.70866141732283472" right="0.70866141732283472" top="0.74803149606299213" bottom="0.74803149606299213" header="0.31496062992125984" footer="0.31496062992125984"/>
  <pageSetup paperSize="9" orientation="landscape" verticalDpi="200" r:id="rId1"/>
  <headerFooter scaleWithDoc="0" alignWithMargins="0"/>
  <ignoredErrors>
    <ignoredError sqref="A1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A1:M32"/>
  <sheetViews>
    <sheetView rightToLeft="1" workbookViewId="0">
      <selection activeCell="B6" sqref="B6"/>
    </sheetView>
  </sheetViews>
  <sheetFormatPr defaultColWidth="9" defaultRowHeight="13.8" x14ac:dyDescent="0.25"/>
  <cols>
    <col min="1" max="1" width="22" style="12" customWidth="1"/>
    <col min="2" max="2" width="11.3984375" style="12" bestFit="1" customWidth="1"/>
    <col min="3" max="5" width="9" style="12"/>
    <col min="6" max="6" width="24.3984375" style="12" bestFit="1" customWidth="1"/>
    <col min="7" max="8" width="9" style="12"/>
    <col min="9" max="9" width="0" style="12" hidden="1" customWidth="1"/>
    <col min="10" max="10" width="9" style="12" hidden="1" customWidth="1"/>
    <col min="11" max="11" width="9" style="12"/>
    <col min="12" max="12" width="23.8984375" style="12" customWidth="1"/>
    <col min="13" max="16384" width="9" style="12"/>
  </cols>
  <sheetData>
    <row r="1" spans="1:13" x14ac:dyDescent="0.25">
      <c r="A1" s="49" t="s">
        <v>2</v>
      </c>
      <c r="B1" s="50" t="s">
        <v>12</v>
      </c>
      <c r="C1" s="50" t="s">
        <v>8</v>
      </c>
      <c r="D1" s="50" t="s">
        <v>9</v>
      </c>
      <c r="E1" s="10"/>
      <c r="F1" s="10"/>
      <c r="G1" s="10"/>
      <c r="H1" s="10"/>
      <c r="I1" s="10"/>
      <c r="J1" s="10" t="s">
        <v>39</v>
      </c>
      <c r="K1" s="11"/>
      <c r="L1" s="13"/>
      <c r="M1" s="13"/>
    </row>
    <row r="2" spans="1:13" ht="14.4" thickBot="1" x14ac:dyDescent="0.3">
      <c r="A2" s="51" t="s">
        <v>13</v>
      </c>
      <c r="B2" s="39">
        <f>'נתוני מטוסים'!H14</f>
        <v>1572</v>
      </c>
      <c r="C2" s="40">
        <f>'נתוני מטוסים'!H3</f>
        <v>39.840000000000003</v>
      </c>
      <c r="D2" s="41">
        <f>C2*B2</f>
        <v>62628.480000000003</v>
      </c>
      <c r="E2" s="13"/>
      <c r="F2" s="13"/>
      <c r="G2" s="13"/>
      <c r="H2" s="13"/>
      <c r="I2" s="13"/>
      <c r="J2" s="13">
        <f>B3+B4</f>
        <v>380</v>
      </c>
      <c r="K2" s="14"/>
      <c r="L2" s="13"/>
      <c r="M2" s="13"/>
    </row>
    <row r="3" spans="1:13" ht="15" thickTop="1" thickBot="1" x14ac:dyDescent="0.3">
      <c r="A3" s="77" t="s">
        <v>75</v>
      </c>
      <c r="B3" s="5">
        <v>200</v>
      </c>
      <c r="C3" s="42">
        <f>'נתוני מטוסים'!H5</f>
        <v>37</v>
      </c>
      <c r="D3" s="41">
        <f>C3*B3</f>
        <v>7400</v>
      </c>
      <c r="E3" s="13"/>
      <c r="F3" s="13"/>
      <c r="G3" s="13"/>
      <c r="H3" s="13"/>
      <c r="I3" s="13"/>
      <c r="J3" s="13" t="s">
        <v>38</v>
      </c>
      <c r="K3" s="14"/>
      <c r="L3" s="13"/>
      <c r="M3" s="13"/>
    </row>
    <row r="4" spans="1:13" ht="15" thickTop="1" thickBot="1" x14ac:dyDescent="0.3">
      <c r="A4" s="77" t="s">
        <v>76</v>
      </c>
      <c r="B4" s="5">
        <v>180</v>
      </c>
      <c r="C4" s="42">
        <f>'נתוני מטוסים'!H5</f>
        <v>37</v>
      </c>
      <c r="D4" s="41">
        <f>B4*C4</f>
        <v>6660</v>
      </c>
      <c r="E4" s="13"/>
      <c r="F4" s="13"/>
      <c r="G4" s="13"/>
      <c r="H4" s="13"/>
      <c r="I4" s="13"/>
      <c r="J4" s="13">
        <f>B5+B6</f>
        <v>0</v>
      </c>
      <c r="K4" s="14"/>
      <c r="L4" s="13"/>
      <c r="M4" s="13"/>
    </row>
    <row r="5" spans="1:13" ht="15" thickTop="1" thickBot="1" x14ac:dyDescent="0.3">
      <c r="A5" s="78" t="s">
        <v>77</v>
      </c>
      <c r="B5" s="5"/>
      <c r="C5" s="42">
        <f>'נתוני מטוסים'!H6</f>
        <v>73</v>
      </c>
      <c r="D5" s="41">
        <f>B5*C5</f>
        <v>0</v>
      </c>
      <c r="E5" s="13"/>
      <c r="F5" s="13"/>
      <c r="G5" s="13"/>
      <c r="H5" s="13"/>
      <c r="I5" s="13"/>
      <c r="J5" s="13" t="s">
        <v>37</v>
      </c>
      <c r="K5" s="14"/>
      <c r="L5" s="13"/>
      <c r="M5" s="13"/>
    </row>
    <row r="6" spans="1:13" ht="15" thickTop="1" thickBot="1" x14ac:dyDescent="0.3">
      <c r="A6" s="78" t="s">
        <v>78</v>
      </c>
      <c r="B6" s="5"/>
      <c r="C6" s="42">
        <f>'נתוני מטוסים'!H6</f>
        <v>73</v>
      </c>
      <c r="D6" s="41">
        <f>C6*B6</f>
        <v>0</v>
      </c>
      <c r="E6" s="13"/>
      <c r="F6" s="13"/>
      <c r="G6" s="13"/>
      <c r="H6" s="13"/>
      <c r="I6" s="13"/>
      <c r="J6" s="44">
        <f>B9/2</f>
        <v>25</v>
      </c>
      <c r="K6" s="14"/>
      <c r="L6" s="13"/>
      <c r="M6" s="13"/>
    </row>
    <row r="7" spans="1:13" ht="15" thickTop="1" thickBot="1" x14ac:dyDescent="0.3">
      <c r="A7" s="79" t="s">
        <v>79</v>
      </c>
      <c r="B7" s="5">
        <v>0</v>
      </c>
      <c r="C7" s="42">
        <f>'נתוני מטוסים'!H7</f>
        <v>95</v>
      </c>
      <c r="D7" s="41">
        <f>B7*C7</f>
        <v>0</v>
      </c>
      <c r="E7" s="13"/>
      <c r="F7" s="13"/>
      <c r="G7" s="13"/>
      <c r="H7" s="13"/>
      <c r="I7" s="13"/>
      <c r="J7" s="13" t="s">
        <v>36</v>
      </c>
      <c r="K7" s="14"/>
      <c r="L7" s="13"/>
      <c r="M7" s="13"/>
    </row>
    <row r="8" spans="1:13" ht="15" thickTop="1" thickBot="1" x14ac:dyDescent="0.3">
      <c r="A8" s="80" t="s">
        <v>80</v>
      </c>
      <c r="B8" s="5">
        <v>0</v>
      </c>
      <c r="C8" s="42">
        <f>'נתוני מטוסים'!H8</f>
        <v>123</v>
      </c>
      <c r="D8" s="41">
        <f>C8*B8</f>
        <v>0</v>
      </c>
      <c r="E8" s="13"/>
      <c r="F8" s="43"/>
      <c r="G8" s="13"/>
      <c r="H8" s="13"/>
      <c r="I8" s="13"/>
      <c r="J8" s="13">
        <f>'נתוני מטוסים'!H18</f>
        <v>62</v>
      </c>
      <c r="K8" s="14"/>
      <c r="L8" s="13"/>
      <c r="M8" s="13"/>
    </row>
    <row r="9" spans="1:13" ht="15" thickTop="1" thickBot="1" x14ac:dyDescent="0.3">
      <c r="A9" s="52" t="s">
        <v>14</v>
      </c>
      <c r="B9" s="5">
        <v>50</v>
      </c>
      <c r="C9" s="42">
        <f>'נתוני מטוסים'!H4</f>
        <v>48</v>
      </c>
      <c r="D9" s="41">
        <f>C9*B9*6</f>
        <v>14400</v>
      </c>
      <c r="E9" s="13"/>
      <c r="F9" s="43"/>
      <c r="G9" s="13"/>
      <c r="H9" s="13"/>
      <c r="I9" s="13"/>
      <c r="J9" s="13" t="s">
        <v>40</v>
      </c>
      <c r="K9" s="14"/>
      <c r="L9" s="13"/>
      <c r="M9" s="13"/>
    </row>
    <row r="10" spans="1:13" ht="15" thickTop="1" x14ac:dyDescent="0.2">
      <c r="A10" s="15"/>
      <c r="B10" s="13"/>
      <c r="C10" s="13"/>
      <c r="D10" s="13"/>
      <c r="E10" s="13"/>
      <c r="F10" s="43"/>
      <c r="G10" s="13"/>
      <c r="H10" s="13"/>
      <c r="I10" s="13"/>
      <c r="J10" s="44">
        <f>'נתוני מטוסים'!H16</f>
        <v>120</v>
      </c>
      <c r="K10" s="14"/>
      <c r="L10" s="13"/>
      <c r="M10" s="13"/>
    </row>
    <row r="11" spans="1:13" x14ac:dyDescent="0.25">
      <c r="A11" s="292" t="s">
        <v>19</v>
      </c>
      <c r="B11" s="293"/>
      <c r="C11" s="13"/>
      <c r="D11" s="13"/>
      <c r="E11" s="13"/>
      <c r="F11" s="13"/>
      <c r="G11" s="13"/>
      <c r="H11" s="13"/>
      <c r="I11" s="13"/>
      <c r="J11" s="13" t="s">
        <v>41</v>
      </c>
      <c r="K11" s="14"/>
      <c r="L11" s="13"/>
      <c r="M11" s="13"/>
    </row>
    <row r="12" spans="1:13" x14ac:dyDescent="0.25">
      <c r="A12" s="53" t="s">
        <v>20</v>
      </c>
      <c r="B12" s="45">
        <f>SUM(D2:D9)/B13</f>
        <v>40.447815275310838</v>
      </c>
      <c r="C12" s="13"/>
      <c r="D12" s="13"/>
      <c r="E12" s="13"/>
      <c r="F12" s="13"/>
      <c r="G12" s="13"/>
      <c r="H12" s="13"/>
      <c r="I12" s="13"/>
      <c r="J12" s="44">
        <f>'נתוני מטוסים'!H17</f>
        <v>50</v>
      </c>
      <c r="K12" s="14"/>
      <c r="L12" s="13"/>
      <c r="M12" s="13"/>
    </row>
    <row r="13" spans="1:13" x14ac:dyDescent="0.25">
      <c r="A13" s="54" t="s">
        <v>15</v>
      </c>
      <c r="B13" s="40">
        <f>B2+(B9*6)+(SUM(B3:B8))</f>
        <v>2252</v>
      </c>
      <c r="C13" s="13"/>
      <c r="D13" s="13"/>
      <c r="E13" s="13"/>
      <c r="F13" s="13"/>
      <c r="G13" s="13"/>
      <c r="H13" s="13"/>
      <c r="I13" s="13"/>
      <c r="J13" s="13" t="s">
        <v>64</v>
      </c>
      <c r="K13" s="14"/>
      <c r="L13" s="13"/>
      <c r="M13" s="13"/>
    </row>
    <row r="14" spans="1:13" ht="14.25" x14ac:dyDescent="0.2">
      <c r="A14" s="15"/>
      <c r="B14" s="13"/>
      <c r="C14" s="13"/>
      <c r="D14" s="13"/>
      <c r="E14" s="13"/>
      <c r="F14" s="13"/>
      <c r="G14" s="13"/>
      <c r="H14" s="13"/>
      <c r="I14" s="13"/>
      <c r="J14" s="13">
        <f>J8/4</f>
        <v>15.5</v>
      </c>
      <c r="K14" s="14"/>
      <c r="L14" s="13"/>
      <c r="M14" s="13"/>
    </row>
    <row r="15" spans="1:13" x14ac:dyDescent="0.25">
      <c r="A15" s="55" t="s">
        <v>18</v>
      </c>
      <c r="B15" s="56"/>
      <c r="C15" s="13"/>
      <c r="D15" s="13"/>
      <c r="E15" s="13"/>
      <c r="F15" s="13"/>
      <c r="G15" s="13"/>
      <c r="H15" s="13"/>
      <c r="I15" s="13"/>
      <c r="J15" s="13"/>
      <c r="K15" s="14"/>
      <c r="L15" s="13"/>
      <c r="M15" s="13"/>
    </row>
    <row r="16" spans="1:13" ht="15" x14ac:dyDescent="0.25">
      <c r="A16" s="57" t="str">
        <f>IF(B12&gt;'נתוני מטוסים'!H9,"חרגת ממגבלת מרכז כובד אחורי",IF(B12&lt;'נתוני מטוסים'!H10,"חרגת ממגבלת מרכז כובד קדמי","מרכז כובד תקין"))</f>
        <v>מרכז כובד תקין</v>
      </c>
      <c r="B16" s="56"/>
      <c r="C16" s="13"/>
      <c r="D16" s="13"/>
      <c r="E16" s="13"/>
      <c r="F16" s="13"/>
      <c r="G16" s="13"/>
      <c r="H16" s="13"/>
      <c r="I16" s="13"/>
      <c r="J16" s="13"/>
      <c r="K16" s="14"/>
      <c r="L16" s="13"/>
      <c r="M16" s="13"/>
    </row>
    <row r="17" spans="1:13" ht="15" x14ac:dyDescent="0.25">
      <c r="A17" s="57" t="str">
        <f>IF(B13&gt;'נתוני מטוסים'!H13,"חרגת מהמשקל המקסימלי","משקל המראה תקין")</f>
        <v>משקל המראה תקין</v>
      </c>
      <c r="B17" s="56"/>
      <c r="C17" s="13"/>
      <c r="D17" s="13"/>
      <c r="E17" s="13"/>
      <c r="F17" s="13"/>
      <c r="G17" s="13"/>
      <c r="H17" s="13"/>
      <c r="I17" s="13"/>
      <c r="J17" s="13"/>
      <c r="K17" s="14"/>
      <c r="L17" s="13"/>
      <c r="M17" s="13"/>
    </row>
    <row r="18" spans="1:13" ht="15" x14ac:dyDescent="0.25">
      <c r="A18" s="57" t="str">
        <f>IF(B9&lt;J14,"יש פחות מרבע טנק דלק","יש מעל רבע טנק דלק")</f>
        <v>יש מעל רבע טנק דלק</v>
      </c>
      <c r="B18" s="13"/>
      <c r="C18" s="13"/>
      <c r="D18" s="13"/>
      <c r="E18" s="13"/>
      <c r="F18" s="13"/>
      <c r="G18" s="13"/>
      <c r="H18" s="13"/>
      <c r="I18" s="13"/>
      <c r="J18" s="13"/>
      <c r="K18" s="14"/>
      <c r="L18" s="13"/>
      <c r="M18" s="13"/>
    </row>
    <row r="19" spans="1:13" ht="15" x14ac:dyDescent="0.25">
      <c r="A19" s="57" t="str">
        <f>IF(SUM('משקל ואיזון DAV'!B7:B8)&gt;'נתוני מטוסים'!H15, "חריגה במשקל תאי המטען","משקל תאי מטען תקין")</f>
        <v>משקל תאי מטען תקין</v>
      </c>
      <c r="B19" s="13"/>
      <c r="C19" s="13"/>
      <c r="D19" s="13"/>
      <c r="E19" s="13"/>
      <c r="F19" s="13"/>
      <c r="G19" s="13"/>
      <c r="H19" s="13"/>
      <c r="I19" s="13"/>
      <c r="J19" s="13"/>
      <c r="K19" s="86"/>
      <c r="L19" s="13"/>
      <c r="M19" s="13"/>
    </row>
    <row r="20" spans="1:13" ht="14.25" x14ac:dyDescent="0.2">
      <c r="A20" s="15"/>
      <c r="B20" s="13"/>
      <c r="C20" s="13"/>
      <c r="D20" s="13"/>
      <c r="E20" s="13"/>
      <c r="F20" s="13"/>
      <c r="G20" s="13"/>
      <c r="H20" s="13"/>
      <c r="I20" s="13"/>
      <c r="J20" s="13"/>
      <c r="K20" s="14"/>
      <c r="L20" s="13"/>
      <c r="M20" s="13"/>
    </row>
    <row r="21" spans="1:13" ht="14.25" x14ac:dyDescent="0.2">
      <c r="A21" s="85" t="s">
        <v>72</v>
      </c>
      <c r="B21" s="13"/>
      <c r="C21" s="13"/>
      <c r="D21" s="13"/>
      <c r="E21" s="13"/>
      <c r="F21" s="13"/>
      <c r="G21" s="13"/>
      <c r="H21" s="13"/>
      <c r="I21" s="13"/>
      <c r="J21" s="13"/>
      <c r="K21" s="14"/>
      <c r="L21" s="13"/>
      <c r="M21" s="13"/>
    </row>
    <row r="22" spans="1:13" ht="15" x14ac:dyDescent="0.25">
      <c r="A22" s="81">
        <f>'נתוני מטוסים'!H13</f>
        <v>2400</v>
      </c>
      <c r="B22" s="13"/>
      <c r="C22" s="13"/>
      <c r="D22" s="13"/>
      <c r="E22" s="13"/>
      <c r="F22" s="13"/>
      <c r="G22" s="13"/>
      <c r="H22" s="13"/>
      <c r="I22" s="13"/>
      <c r="J22" s="13"/>
      <c r="K22" s="14"/>
      <c r="L22" s="13"/>
      <c r="M22" s="13"/>
    </row>
    <row r="23" spans="1:13" ht="14.25" x14ac:dyDescent="0.2">
      <c r="A23" s="15"/>
      <c r="B23" s="13"/>
      <c r="C23" s="13"/>
      <c r="D23" s="13"/>
      <c r="E23" s="13"/>
      <c r="F23" s="13"/>
      <c r="G23" s="13"/>
      <c r="H23" s="13"/>
      <c r="I23" s="13"/>
      <c r="J23" s="13"/>
      <c r="K23" s="14"/>
      <c r="L23" s="13"/>
      <c r="M23" s="13"/>
    </row>
    <row r="24" spans="1:13" ht="14.25" x14ac:dyDescent="0.2">
      <c r="A24" s="15"/>
      <c r="B24" s="13"/>
      <c r="C24" s="13"/>
      <c r="D24" s="13"/>
      <c r="E24" s="13"/>
      <c r="F24" s="13"/>
      <c r="G24" s="13"/>
      <c r="H24" s="13"/>
      <c r="I24" s="13"/>
      <c r="J24" s="13"/>
      <c r="K24" s="14"/>
      <c r="L24" s="13"/>
      <c r="M24" s="13"/>
    </row>
    <row r="25" spans="1:13" ht="14.25" x14ac:dyDescent="0.2">
      <c r="A25" s="15"/>
      <c r="B25" s="13"/>
      <c r="C25" s="13"/>
      <c r="D25" s="13"/>
      <c r="E25" s="13"/>
      <c r="F25" s="13"/>
      <c r="G25" s="13"/>
      <c r="H25" s="13"/>
      <c r="I25" s="13"/>
      <c r="J25" s="13"/>
      <c r="K25" s="14"/>
      <c r="L25" s="13"/>
      <c r="M25" s="13"/>
    </row>
    <row r="26" spans="1:13" ht="14.25" x14ac:dyDescent="0.2">
      <c r="A26" s="15"/>
      <c r="B26" s="13"/>
      <c r="C26" s="13"/>
      <c r="D26" s="13"/>
      <c r="E26" s="13"/>
      <c r="F26" s="13"/>
      <c r="G26" s="13"/>
      <c r="H26" s="13"/>
      <c r="I26" s="13"/>
      <c r="J26" s="13"/>
      <c r="K26" s="14"/>
      <c r="L26" s="13"/>
      <c r="M26" s="13"/>
    </row>
    <row r="27" spans="1:13" ht="14.25" x14ac:dyDescent="0.2">
      <c r="A27" s="15"/>
      <c r="B27" s="13"/>
      <c r="C27" s="13"/>
      <c r="D27" s="13"/>
      <c r="E27" s="13"/>
      <c r="F27" s="13"/>
      <c r="G27" s="13"/>
      <c r="H27" s="13"/>
      <c r="I27" s="13"/>
      <c r="J27" s="13"/>
      <c r="K27" s="14"/>
      <c r="L27" s="13"/>
      <c r="M27" s="13"/>
    </row>
    <row r="28" spans="1:13" ht="14.25" x14ac:dyDescent="0.2">
      <c r="A28" s="15"/>
      <c r="B28" s="13"/>
      <c r="C28" s="13"/>
      <c r="D28" s="13"/>
      <c r="E28" s="13"/>
      <c r="F28" s="13"/>
      <c r="G28" s="13"/>
      <c r="H28" s="13"/>
      <c r="I28" s="13"/>
      <c r="J28" s="13"/>
      <c r="K28" s="14"/>
      <c r="L28" s="13"/>
      <c r="M28" s="13"/>
    </row>
    <row r="29" spans="1:13" ht="15" thickBot="1" x14ac:dyDescent="0.25">
      <c r="A29" s="15"/>
      <c r="B29" s="13"/>
      <c r="C29" s="13"/>
      <c r="D29" s="13"/>
      <c r="E29" s="13"/>
      <c r="F29" s="13"/>
      <c r="G29" s="13"/>
      <c r="H29" s="13"/>
      <c r="I29" s="13"/>
      <c r="J29" s="13"/>
      <c r="K29" s="14"/>
      <c r="L29" s="13"/>
      <c r="M29" s="13"/>
    </row>
    <row r="30" spans="1:13" ht="15.6" x14ac:dyDescent="0.3">
      <c r="A30" s="73" t="s">
        <v>83</v>
      </c>
      <c r="B30" s="10"/>
      <c r="C30" s="10"/>
      <c r="D30" s="10"/>
      <c r="E30" s="10"/>
      <c r="F30" s="10"/>
      <c r="G30" s="11"/>
      <c r="H30" s="13"/>
      <c r="I30" s="13"/>
      <c r="J30" s="13"/>
      <c r="K30" s="14"/>
      <c r="L30" s="13"/>
      <c r="M30" s="13"/>
    </row>
    <row r="31" spans="1:13" ht="15.6" x14ac:dyDescent="0.3">
      <c r="A31" s="72" t="s">
        <v>84</v>
      </c>
      <c r="B31" s="13"/>
      <c r="C31" s="13"/>
      <c r="D31" s="13"/>
      <c r="E31" s="13"/>
      <c r="F31" s="13"/>
      <c r="G31" s="14"/>
      <c r="H31" s="13"/>
      <c r="I31" s="13"/>
      <c r="J31" s="13"/>
      <c r="K31" s="14"/>
      <c r="L31" s="13"/>
      <c r="M31" s="13"/>
    </row>
    <row r="32" spans="1:13" ht="16.2" thickBot="1" x14ac:dyDescent="0.35">
      <c r="A32" s="74" t="s">
        <v>86</v>
      </c>
      <c r="B32" s="16"/>
      <c r="C32" s="16"/>
      <c r="D32" s="16"/>
      <c r="E32" s="16"/>
      <c r="F32" s="16"/>
      <c r="G32" s="17"/>
      <c r="H32" s="16"/>
      <c r="I32" s="16"/>
      <c r="J32" s="16"/>
      <c r="K32" s="17"/>
      <c r="L32" s="13"/>
      <c r="M32" s="13"/>
    </row>
  </sheetData>
  <sheetProtection algorithmName="SHA-512" hashValue="2AOyKVLnwvIaTXJ+MjZLrI8xGyWtulo/WvJ9DbCcSw4mn2Y+kfkZEtxSqlnA67w2F1oUrwB+bms44XNvIq4NOw==" saltValue="zr7AqiWVPHopEpCU0DZI4Q==" spinCount="100000" sheet="1" objects="1" scenarios="1" selectLockedCells="1"/>
  <dataConsolidate/>
  <mergeCells count="1">
    <mergeCell ref="A11:B11"/>
  </mergeCells>
  <conditionalFormatting sqref="A17">
    <cfRule type="containsText" dxfId="17" priority="3" operator="containsText" text="חרגת מהמשקל המקסימלי">
      <formula>NOT(ISERROR(SEARCH("חרגת מהמשקל המקסימלי",A17)))</formula>
    </cfRule>
  </conditionalFormatting>
  <conditionalFormatting sqref="A18">
    <cfRule type="containsText" dxfId="16" priority="2" operator="containsText" text="יש פחות מרבע טנק דלק">
      <formula>NOT(ISERROR(SEARCH("יש פחות מרבע טנק דלק",A18)))</formula>
    </cfRule>
  </conditionalFormatting>
  <conditionalFormatting sqref="A19">
    <cfRule type="cellIs" dxfId="15" priority="1" operator="equal">
      <formula>"חריגה במשקל תאי המטען"</formula>
    </cfRule>
  </conditionalFormatting>
  <dataValidations count="4">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9">
      <formula1>1</formula1>
      <formula2>J8</formula2>
    </dataValidation>
    <dataValidation type="whole" allowBlank="1" showErrorMessage="1" errorTitle="הזנה שגויה" error="יש להזין מספרים בלבד בטווח שתואם את מגבלות המטוס. את נתוני המטוס ומגבלותיו ניתן למצוא בלשונית &quot;נתוני מטוסים&quot;" promptTitle="הזן משקל מטען אחרי בק&quot;ג" sqref="B8">
      <formula1>0</formula1>
      <formula2>J12</formula2>
    </dataValidation>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7">
      <formula1>0</formula1>
      <formula2>J10</formula2>
    </dataValidation>
    <dataValidation type="whole" allowBlank="1" showInputMessage="1" showErrorMessage="1" sqref="B2">
      <formula1>1</formula1>
      <formula2>2400</formula2>
    </dataValidation>
  </dataValidations>
  <pageMargins left="0.70866141732283472" right="0.70866141732283472" top="0.74803149606299213" bottom="0.74803149606299213" header="0.31496062992125984" footer="0.31496062992125984"/>
  <pageSetup paperSize="9" orientation="landscape" horizontalDpi="200" verticalDpi="200" r:id="rId1"/>
  <headerFooter scaleWithDoc="0"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4"/>
  <dimension ref="A1:Q32"/>
  <sheetViews>
    <sheetView rightToLeft="1" workbookViewId="0">
      <selection activeCell="B9" sqref="B9"/>
    </sheetView>
  </sheetViews>
  <sheetFormatPr defaultColWidth="9" defaultRowHeight="13.8" x14ac:dyDescent="0.25"/>
  <cols>
    <col min="1" max="1" width="22" style="12" customWidth="1"/>
    <col min="2" max="2" width="11.3984375" style="12" bestFit="1" customWidth="1"/>
    <col min="3" max="5" width="9" style="12"/>
    <col min="6" max="6" width="24.3984375" style="12" bestFit="1" customWidth="1"/>
    <col min="7" max="8" width="9" style="12"/>
    <col min="9" max="9" width="0" style="12" hidden="1" customWidth="1"/>
    <col min="10" max="10" width="9" style="12" hidden="1" customWidth="1"/>
    <col min="11" max="11" width="9" style="12"/>
    <col min="12" max="12" width="23.8984375" style="12" customWidth="1"/>
    <col min="13" max="16384" width="9" style="12"/>
  </cols>
  <sheetData>
    <row r="1" spans="1:17" x14ac:dyDescent="0.25">
      <c r="A1" s="49" t="s">
        <v>2</v>
      </c>
      <c r="B1" s="50" t="s">
        <v>12</v>
      </c>
      <c r="C1" s="50" t="s">
        <v>8</v>
      </c>
      <c r="D1" s="50" t="s">
        <v>9</v>
      </c>
      <c r="E1" s="10"/>
      <c r="F1" s="10"/>
      <c r="G1" s="10"/>
      <c r="H1" s="10"/>
      <c r="I1" s="10"/>
      <c r="J1" s="10" t="s">
        <v>39</v>
      </c>
      <c r="K1" s="11"/>
      <c r="L1" s="13"/>
      <c r="M1" s="13"/>
    </row>
    <row r="2" spans="1:17" ht="14.4" thickBot="1" x14ac:dyDescent="0.3">
      <c r="A2" s="51" t="s">
        <v>13</v>
      </c>
      <c r="B2" s="39">
        <f>'נתוני מטוסים'!B33</f>
        <v>1702.8</v>
      </c>
      <c r="C2" s="40">
        <f>'נתוני מטוסים'!B22</f>
        <v>37.799999999999997</v>
      </c>
      <c r="D2" s="41">
        <f>C2*B2</f>
        <v>64365.84</v>
      </c>
      <c r="E2" s="13"/>
      <c r="F2" s="13"/>
      <c r="G2" s="13"/>
      <c r="H2" s="13"/>
      <c r="I2" s="13"/>
      <c r="J2" s="13">
        <f>B3+B4</f>
        <v>300</v>
      </c>
      <c r="K2" s="14"/>
      <c r="L2" s="13"/>
      <c r="M2" s="13"/>
    </row>
    <row r="3" spans="1:17" ht="15" thickTop="1" thickBot="1" x14ac:dyDescent="0.3">
      <c r="A3" s="77" t="s">
        <v>75</v>
      </c>
      <c r="B3" s="5">
        <v>150</v>
      </c>
      <c r="C3" s="42">
        <f>'נתוני מטוסים'!B24</f>
        <v>37</v>
      </c>
      <c r="D3" s="41">
        <f>C3*B3</f>
        <v>5550</v>
      </c>
      <c r="E3" s="13"/>
      <c r="F3" s="13"/>
      <c r="G3" s="13"/>
      <c r="H3" s="13"/>
      <c r="I3" s="13"/>
      <c r="J3" s="13" t="s">
        <v>38</v>
      </c>
      <c r="K3" s="14"/>
      <c r="L3" s="13"/>
      <c r="M3" s="13"/>
    </row>
    <row r="4" spans="1:17" ht="15" thickTop="1" thickBot="1" x14ac:dyDescent="0.3">
      <c r="A4" s="77" t="s">
        <v>76</v>
      </c>
      <c r="B4" s="5">
        <v>150</v>
      </c>
      <c r="C4" s="42">
        <f>'נתוני מטוסים'!B24</f>
        <v>37</v>
      </c>
      <c r="D4" s="41">
        <f>B4*C4</f>
        <v>5550</v>
      </c>
      <c r="E4" s="13"/>
      <c r="F4" s="13"/>
      <c r="G4" s="13"/>
      <c r="H4" s="13"/>
      <c r="I4" s="13"/>
      <c r="J4" s="13">
        <f>B5+B6</f>
        <v>300</v>
      </c>
      <c r="K4" s="14"/>
      <c r="L4" s="13"/>
      <c r="M4" s="13"/>
    </row>
    <row r="5" spans="1:17" ht="15" thickTop="1" thickBot="1" x14ac:dyDescent="0.3">
      <c r="A5" s="78" t="s">
        <v>77</v>
      </c>
      <c r="B5" s="5">
        <v>150</v>
      </c>
      <c r="C5" s="42">
        <f>'נתוני מטוסים'!B25</f>
        <v>73</v>
      </c>
      <c r="D5" s="41">
        <f>B5*C5</f>
        <v>10950</v>
      </c>
      <c r="E5" s="13"/>
      <c r="F5" s="13"/>
      <c r="G5" s="13"/>
      <c r="H5" s="13"/>
      <c r="I5" s="13"/>
      <c r="J5" s="13" t="s">
        <v>37</v>
      </c>
      <c r="K5" s="14"/>
      <c r="L5" s="13"/>
      <c r="M5" s="13"/>
    </row>
    <row r="6" spans="1:17" ht="15" thickTop="1" thickBot="1" x14ac:dyDescent="0.3">
      <c r="A6" s="78" t="s">
        <v>78</v>
      </c>
      <c r="B6" s="5">
        <v>150</v>
      </c>
      <c r="C6" s="42">
        <f>'נתוני מטוסים'!B25</f>
        <v>73</v>
      </c>
      <c r="D6" s="41">
        <f>C6*B6</f>
        <v>10950</v>
      </c>
      <c r="E6" s="13"/>
      <c r="F6" s="13"/>
      <c r="G6" s="13"/>
      <c r="H6" s="13"/>
      <c r="I6" s="13"/>
      <c r="J6" s="44">
        <f>B9/2</f>
        <v>20</v>
      </c>
      <c r="K6" s="14"/>
      <c r="L6" s="13"/>
      <c r="M6" s="13"/>
    </row>
    <row r="7" spans="1:17" ht="15" thickTop="1" thickBot="1" x14ac:dyDescent="0.3">
      <c r="A7" s="79" t="s">
        <v>79</v>
      </c>
      <c r="B7" s="5">
        <v>0</v>
      </c>
      <c r="C7" s="42">
        <f>'נתוני מטוסים'!B26</f>
        <v>95</v>
      </c>
      <c r="D7" s="41">
        <f>(B7+'נתוני מטוסים'!D36)*C7</f>
        <v>0</v>
      </c>
      <c r="E7" s="13"/>
      <c r="F7" s="13"/>
      <c r="G7" s="13"/>
      <c r="H7" s="13"/>
      <c r="I7" s="13"/>
      <c r="J7" s="13" t="s">
        <v>36</v>
      </c>
      <c r="K7" s="14"/>
      <c r="L7" s="13"/>
      <c r="M7" s="13"/>
    </row>
    <row r="8" spans="1:17" ht="15" thickTop="1" thickBot="1" x14ac:dyDescent="0.3">
      <c r="A8" s="80" t="s">
        <v>80</v>
      </c>
      <c r="B8" s="5">
        <v>0</v>
      </c>
      <c r="C8" s="42">
        <f>'נתוני מטוסים'!B8</f>
        <v>123</v>
      </c>
      <c r="D8" s="41">
        <f>C8*B8</f>
        <v>0</v>
      </c>
      <c r="E8" s="13"/>
      <c r="F8" s="43"/>
      <c r="G8" s="13"/>
      <c r="H8" s="13"/>
      <c r="I8" s="13"/>
      <c r="J8" s="13">
        <f>'נתוני מטוסים'!B37</f>
        <v>66</v>
      </c>
      <c r="K8" s="14"/>
      <c r="L8" s="299"/>
      <c r="M8" s="258"/>
      <c r="N8" s="13"/>
      <c r="O8" s="13"/>
    </row>
    <row r="9" spans="1:17" ht="15" thickTop="1" thickBot="1" x14ac:dyDescent="0.3">
      <c r="A9" s="52" t="s">
        <v>14</v>
      </c>
      <c r="B9" s="5">
        <v>40</v>
      </c>
      <c r="C9" s="42">
        <f>'נתוני מטוסים'!B4</f>
        <v>48</v>
      </c>
      <c r="D9" s="41">
        <f>C9*B9*6</f>
        <v>11520</v>
      </c>
      <c r="E9" s="13"/>
      <c r="F9" s="43"/>
      <c r="G9" s="13"/>
      <c r="H9" s="13"/>
      <c r="I9" s="13"/>
      <c r="J9" s="13" t="s">
        <v>40</v>
      </c>
      <c r="K9" s="14"/>
      <c r="L9" s="300"/>
      <c r="M9" s="258"/>
      <c r="N9" s="13"/>
      <c r="O9" s="13"/>
    </row>
    <row r="10" spans="1:17" ht="14.4" thickTop="1" x14ac:dyDescent="0.25">
      <c r="A10" s="15"/>
      <c r="B10" s="13"/>
      <c r="C10" s="13"/>
      <c r="D10" s="13"/>
      <c r="E10" s="13"/>
      <c r="F10" s="297"/>
      <c r="G10" s="298"/>
      <c r="H10" s="298"/>
      <c r="I10" s="13"/>
      <c r="J10" s="44">
        <f>'נתוני מטוסים'!B35</f>
        <v>200</v>
      </c>
      <c r="K10" s="14"/>
      <c r="L10" s="300"/>
      <c r="M10" s="258"/>
      <c r="N10" s="13"/>
      <c r="O10" s="13"/>
    </row>
    <row r="11" spans="1:17" x14ac:dyDescent="0.25">
      <c r="A11" s="292" t="s">
        <v>19</v>
      </c>
      <c r="B11" s="293"/>
      <c r="C11" s="13"/>
      <c r="D11" s="13"/>
      <c r="E11" s="13"/>
      <c r="F11" s="13"/>
      <c r="G11" s="13"/>
      <c r="H11" s="13"/>
      <c r="I11" s="13"/>
      <c r="J11" s="13" t="s">
        <v>41</v>
      </c>
      <c r="K11" s="14"/>
      <c r="L11" s="13"/>
      <c r="M11" s="13"/>
      <c r="N11" s="13"/>
      <c r="O11" s="13"/>
    </row>
    <row r="12" spans="1:17" x14ac:dyDescent="0.25">
      <c r="A12" s="53" t="s">
        <v>20</v>
      </c>
      <c r="B12" s="45">
        <f>SUM(D2:D9)/B13</f>
        <v>42.82123643227937</v>
      </c>
      <c r="C12" s="13"/>
      <c r="D12" s="13"/>
      <c r="E12" s="13"/>
      <c r="F12" s="13"/>
      <c r="G12" s="13"/>
      <c r="H12" s="13"/>
      <c r="I12" s="13"/>
      <c r="J12" s="44">
        <f>'נתוני מטוסים'!B36</f>
        <v>50</v>
      </c>
      <c r="K12" s="14"/>
      <c r="L12" s="13"/>
      <c r="M12" s="13"/>
      <c r="N12" s="13"/>
      <c r="O12" s="13"/>
    </row>
    <row r="13" spans="1:17" x14ac:dyDescent="0.25">
      <c r="A13" s="54" t="s">
        <v>15</v>
      </c>
      <c r="B13" s="40">
        <f>B2+(B9*6)+(SUM(B3:B8))+'נתוני מטוסים'!D36</f>
        <v>2542.8000000000002</v>
      </c>
      <c r="C13" s="13"/>
      <c r="D13" s="13"/>
      <c r="E13" s="13"/>
      <c r="F13" s="13"/>
      <c r="G13" s="13"/>
      <c r="H13" s="13"/>
      <c r="I13" s="13"/>
      <c r="J13" s="13" t="s">
        <v>64</v>
      </c>
      <c r="K13" s="14"/>
      <c r="L13" s="13"/>
      <c r="M13" s="13"/>
    </row>
    <row r="14" spans="1:17" ht="14.25" x14ac:dyDescent="0.2">
      <c r="A14" s="15"/>
      <c r="B14" s="13"/>
      <c r="C14" s="13"/>
      <c r="D14" s="13"/>
      <c r="E14" s="13"/>
      <c r="F14" s="13"/>
      <c r="G14" s="13"/>
      <c r="H14" s="13"/>
      <c r="I14" s="13"/>
      <c r="J14" s="13">
        <f>J8/4</f>
        <v>16.5</v>
      </c>
      <c r="K14" s="14"/>
      <c r="L14" s="13"/>
      <c r="M14" s="13"/>
    </row>
    <row r="15" spans="1:17" x14ac:dyDescent="0.25">
      <c r="A15" s="55" t="s">
        <v>18</v>
      </c>
      <c r="B15" s="56"/>
      <c r="C15" s="13"/>
      <c r="D15" s="13"/>
      <c r="E15" s="13"/>
      <c r="F15" s="13"/>
      <c r="G15" s="13"/>
      <c r="H15" s="13"/>
      <c r="I15" s="13"/>
      <c r="J15" s="13"/>
      <c r="K15" s="14"/>
      <c r="L15" s="13"/>
      <c r="M15" s="13"/>
      <c r="Q15" s="13"/>
    </row>
    <row r="16" spans="1:17" ht="15" x14ac:dyDescent="0.25">
      <c r="A16" s="57" t="str">
        <f>IF(B12&gt;'נתוני מטוסים'!B28,"חרגת ממגבלת מרכז כובד אחורי",IF(B12&lt;'נתוני מטוסים'!B29,"חרגת ממגבלת מרכז כובד קדמי","מרכז כובד תקין"))</f>
        <v>מרכז כובד תקין</v>
      </c>
      <c r="B16" s="56"/>
      <c r="C16" s="13"/>
      <c r="D16" s="13"/>
      <c r="E16" s="13"/>
      <c r="F16" s="13"/>
      <c r="G16" s="13"/>
      <c r="H16" s="13"/>
      <c r="I16" s="13"/>
      <c r="J16" s="13"/>
      <c r="K16" s="14"/>
      <c r="L16" s="13"/>
      <c r="M16" s="13"/>
      <c r="N16" s="13"/>
      <c r="O16" s="13"/>
    </row>
    <row r="17" spans="1:15" ht="15" x14ac:dyDescent="0.25">
      <c r="A17" s="57" t="str">
        <f>IF(B13&gt;'נתוני מטוסים'!B32,"חרגת מהמשקל המקסימלי","משקל המראה תקין")</f>
        <v>משקל המראה תקין</v>
      </c>
      <c r="B17" s="56"/>
      <c r="C17" s="13"/>
      <c r="D17" s="13"/>
      <c r="E17" s="13"/>
      <c r="F17" s="13"/>
      <c r="G17" s="13"/>
      <c r="H17" s="13"/>
      <c r="I17" s="13"/>
      <c r="J17" s="13"/>
      <c r="K17" s="14"/>
      <c r="L17" s="13"/>
      <c r="M17" s="13"/>
      <c r="N17" s="13"/>
      <c r="O17" s="13"/>
    </row>
    <row r="18" spans="1:15" ht="15" x14ac:dyDescent="0.25">
      <c r="A18" s="57" t="str">
        <f>IF(B9&lt;J14,"יש פחות מרבע טנק דלק","יש מעל רבע טנק דלק")</f>
        <v>יש מעל רבע טנק דלק</v>
      </c>
      <c r="B18" s="13"/>
      <c r="C18" s="13"/>
      <c r="D18" s="13"/>
      <c r="E18" s="13"/>
      <c r="F18" s="13"/>
      <c r="G18" s="13"/>
      <c r="H18" s="13"/>
      <c r="I18" s="13"/>
      <c r="J18" s="13"/>
      <c r="K18" s="14"/>
      <c r="L18" s="13"/>
      <c r="M18" s="13"/>
      <c r="N18" s="13"/>
    </row>
    <row r="19" spans="1:15" ht="15" x14ac:dyDescent="0.25">
      <c r="A19" s="57" t="str">
        <f>IF((SUM('משקל ואיזון CHD'!B7:B8) + 'נתוני מטוסים'!D36) &gt; 'נתוני מטוסים'!B34, "חריגה במשקל תאי המטען","משקל תאי מטען תקין")</f>
        <v>משקל תאי מטען תקין</v>
      </c>
      <c r="B19" s="13"/>
      <c r="C19" s="13"/>
      <c r="D19" s="13"/>
      <c r="E19" s="13"/>
      <c r="F19" s="13"/>
      <c r="G19" s="13"/>
      <c r="H19" s="13"/>
      <c r="I19" s="13"/>
      <c r="J19" s="13"/>
      <c r="K19" s="86"/>
      <c r="L19" s="13"/>
      <c r="M19" s="13"/>
      <c r="N19" s="13"/>
    </row>
    <row r="20" spans="1:15" ht="14.25" x14ac:dyDescent="0.2">
      <c r="A20" s="15"/>
      <c r="B20" s="13"/>
      <c r="C20" s="13"/>
      <c r="D20" s="13"/>
      <c r="E20" s="13"/>
      <c r="F20" s="13"/>
      <c r="G20" s="13"/>
      <c r="H20" s="13"/>
      <c r="I20" s="13"/>
      <c r="J20" s="13"/>
      <c r="K20" s="14"/>
      <c r="L20" s="13"/>
      <c r="M20" s="13"/>
      <c r="N20" s="13"/>
    </row>
    <row r="21" spans="1:15" ht="14.25" x14ac:dyDescent="0.2">
      <c r="A21" s="85" t="s">
        <v>72</v>
      </c>
      <c r="B21" s="13"/>
      <c r="C21" s="13"/>
      <c r="D21" s="13"/>
      <c r="E21" s="13"/>
      <c r="F21" s="13"/>
      <c r="G21" s="13"/>
      <c r="H21" s="13"/>
      <c r="I21" s="13"/>
      <c r="J21" s="13"/>
      <c r="K21" s="14"/>
      <c r="L21" s="13"/>
      <c r="M21" s="13"/>
    </row>
    <row r="22" spans="1:15" ht="15" x14ac:dyDescent="0.25">
      <c r="A22" s="81">
        <f>'נתוני מטוסים'!B32</f>
        <v>2550</v>
      </c>
      <c r="B22" s="13"/>
      <c r="C22" s="13"/>
      <c r="D22" s="13"/>
      <c r="E22" s="13"/>
      <c r="F22" s="13"/>
      <c r="G22" s="13"/>
      <c r="H22" s="13"/>
      <c r="I22" s="13"/>
      <c r="J22" s="13"/>
      <c r="K22" s="14"/>
      <c r="L22" s="13"/>
      <c r="M22" s="13"/>
    </row>
    <row r="23" spans="1:15" ht="14.25" x14ac:dyDescent="0.2">
      <c r="A23" s="15"/>
      <c r="B23" s="13"/>
      <c r="C23" s="13"/>
      <c r="D23" s="13"/>
      <c r="E23" s="13"/>
      <c r="F23" s="13"/>
      <c r="G23" s="13"/>
      <c r="H23" s="13"/>
      <c r="I23" s="13"/>
      <c r="J23" s="13"/>
      <c r="K23" s="14"/>
      <c r="L23" s="13"/>
      <c r="M23" s="13"/>
    </row>
    <row r="24" spans="1:15" ht="14.25" x14ac:dyDescent="0.2">
      <c r="A24" s="15"/>
      <c r="B24" s="13"/>
      <c r="C24" s="13"/>
      <c r="D24" s="13"/>
      <c r="E24" s="13"/>
      <c r="F24" s="13"/>
      <c r="G24" s="13"/>
      <c r="H24" s="13"/>
      <c r="I24" s="13"/>
      <c r="J24" s="13"/>
      <c r="K24" s="14"/>
      <c r="L24" s="13"/>
      <c r="M24" s="13"/>
    </row>
    <row r="25" spans="1:15" ht="14.25" x14ac:dyDescent="0.2">
      <c r="A25" s="15"/>
      <c r="B25" s="13"/>
      <c r="C25" s="13"/>
      <c r="D25" s="13"/>
      <c r="E25" s="13"/>
      <c r="F25" s="13"/>
      <c r="G25" s="13"/>
      <c r="H25" s="13"/>
      <c r="I25" s="13"/>
      <c r="J25" s="13"/>
      <c r="K25" s="14"/>
      <c r="L25" s="13"/>
      <c r="M25" s="13"/>
    </row>
    <row r="26" spans="1:15" ht="14.25" x14ac:dyDescent="0.2">
      <c r="A26" s="15"/>
      <c r="B26" s="13"/>
      <c r="C26" s="13"/>
      <c r="D26" s="13"/>
      <c r="E26" s="13"/>
      <c r="F26" s="13"/>
      <c r="G26" s="13"/>
      <c r="H26" s="13"/>
      <c r="I26" s="13"/>
      <c r="J26" s="13"/>
      <c r="K26" s="14"/>
      <c r="L26" s="13"/>
      <c r="M26" s="13"/>
    </row>
    <row r="27" spans="1:15" ht="14.25" x14ac:dyDescent="0.2">
      <c r="A27" s="15"/>
      <c r="B27" s="13"/>
      <c r="C27" s="13"/>
      <c r="D27" s="13"/>
      <c r="E27" s="13"/>
      <c r="F27" s="13"/>
      <c r="G27" s="13"/>
      <c r="H27" s="13"/>
      <c r="I27" s="13"/>
      <c r="J27" s="13"/>
      <c r="K27" s="14"/>
      <c r="L27" s="13"/>
      <c r="M27" s="13"/>
    </row>
    <row r="28" spans="1:15" ht="14.25" x14ac:dyDescent="0.2">
      <c r="A28" s="15"/>
      <c r="B28" s="13"/>
      <c r="C28" s="13"/>
      <c r="D28" s="13"/>
      <c r="E28" s="13"/>
      <c r="F28" s="13"/>
      <c r="G28" s="13"/>
      <c r="H28" s="13"/>
      <c r="I28" s="13"/>
      <c r="J28" s="13"/>
      <c r="K28" s="14"/>
      <c r="L28" s="13"/>
      <c r="M28" s="13"/>
    </row>
    <row r="29" spans="1:15" ht="15" thickBot="1" x14ac:dyDescent="0.25">
      <c r="A29" s="15"/>
      <c r="B29" s="13"/>
      <c r="C29" s="13"/>
      <c r="D29" s="13"/>
      <c r="E29" s="13"/>
      <c r="F29" s="13"/>
      <c r="G29" s="13"/>
      <c r="H29" s="13"/>
      <c r="I29" s="13"/>
      <c r="J29" s="13"/>
      <c r="K29" s="14"/>
      <c r="L29" s="13"/>
      <c r="M29" s="13"/>
    </row>
    <row r="30" spans="1:15" ht="15.6" x14ac:dyDescent="0.3">
      <c r="A30" s="73" t="s">
        <v>83</v>
      </c>
      <c r="B30" s="10"/>
      <c r="C30" s="10"/>
      <c r="D30" s="10"/>
      <c r="E30" s="10"/>
      <c r="F30" s="10"/>
      <c r="G30" s="11"/>
      <c r="H30" s="13"/>
      <c r="I30" s="13"/>
      <c r="J30" s="13"/>
      <c r="K30" s="14"/>
      <c r="L30" s="13"/>
      <c r="M30" s="13"/>
    </row>
    <row r="31" spans="1:15" ht="15.6" x14ac:dyDescent="0.3">
      <c r="A31" s="72" t="s">
        <v>84</v>
      </c>
      <c r="B31" s="13"/>
      <c r="C31" s="13"/>
      <c r="D31" s="13"/>
      <c r="E31" s="13"/>
      <c r="F31" s="13"/>
      <c r="G31" s="14"/>
      <c r="H31" s="13"/>
      <c r="I31" s="13"/>
      <c r="J31" s="13"/>
      <c r="K31" s="14"/>
      <c r="L31" s="13"/>
      <c r="M31" s="13"/>
    </row>
    <row r="32" spans="1:15" ht="16.2" thickBot="1" x14ac:dyDescent="0.35">
      <c r="A32" s="74" t="s">
        <v>86</v>
      </c>
      <c r="B32" s="16"/>
      <c r="C32" s="16"/>
      <c r="D32" s="16"/>
      <c r="E32" s="16"/>
      <c r="F32" s="16"/>
      <c r="G32" s="17"/>
      <c r="H32" s="16"/>
      <c r="I32" s="16"/>
      <c r="J32" s="16"/>
      <c r="K32" s="17"/>
      <c r="L32" s="13"/>
      <c r="M32" s="13"/>
    </row>
  </sheetData>
  <sheetProtection algorithmName="SHA-512" hashValue="rNqbwI2BtnK/c5tM1PPZPqfSa5hrIlOBO2n71R1E8svGwFzMq5iBNEqyiLUim64m1ZOp7n5ZwiqVvb6QW0IS4w==" saltValue="JlALAvNipM+3GEW1v+k0tA==" spinCount="100000" sheet="1" objects="1" scenarios="1" selectLockedCells="1"/>
  <dataConsolidate/>
  <mergeCells count="3">
    <mergeCell ref="A11:B11"/>
    <mergeCell ref="F10:H10"/>
    <mergeCell ref="L8:M10"/>
  </mergeCells>
  <conditionalFormatting sqref="A17">
    <cfRule type="containsText" dxfId="14" priority="3" operator="containsText" text="חרגת מהמשקל המקסימלי">
      <formula>NOT(ISERROR(SEARCH("חרגת מהמשקל המקסימלי",A17)))</formula>
    </cfRule>
  </conditionalFormatting>
  <conditionalFormatting sqref="A18">
    <cfRule type="containsText" dxfId="13" priority="2" operator="containsText" text="יש פחות מרבע טנק דלק">
      <formula>NOT(ISERROR(SEARCH("יש פחות מרבע טנק דלק",A18)))</formula>
    </cfRule>
  </conditionalFormatting>
  <conditionalFormatting sqref="A19">
    <cfRule type="cellIs" dxfId="12" priority="1" operator="equal">
      <formula>"חריגה במשקל תאי המטען"</formula>
    </cfRule>
  </conditionalFormatting>
  <dataValidations count="4">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7">
      <formula1>0</formula1>
      <formula2>J10</formula2>
    </dataValidation>
    <dataValidation type="whole" allowBlank="1" showErrorMessage="1" errorTitle="הזנה שגויה" error="יש להזין מספרים בלבד בטווח שתואם את מגבלות המטוס. את נתוני המטוס ומגבלותיו ניתן למצוא בלשונית &quot;נתוני מטוסים&quot;" promptTitle="הזן משקל מטען אחרי בק&quot;ג" sqref="B8">
      <formula1>0</formula1>
      <formula2>J12</formula2>
    </dataValidation>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9">
      <formula1>1</formula1>
      <formula2>J8</formula2>
    </dataValidation>
    <dataValidation type="whole" allowBlank="1" showInputMessage="1" showErrorMessage="1" sqref="B2">
      <formula1>1</formula1>
      <formula2>2400</formula2>
    </dataValidation>
  </dataValidations>
  <pageMargins left="0.70866141732283472" right="0.70866141732283472" top="0.74803149606299213" bottom="0.74803149606299213" header="0.31496062992125984" footer="0.31496062992125984"/>
  <pageSetup paperSize="9" orientation="landscape" verticalDpi="200" r:id="rId1"/>
  <headerFooter scaleWithDoc="0"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dimension ref="A1:M36"/>
  <sheetViews>
    <sheetView rightToLeft="1" workbookViewId="0">
      <selection activeCell="B3" sqref="B3"/>
    </sheetView>
  </sheetViews>
  <sheetFormatPr defaultColWidth="9" defaultRowHeight="13.8" x14ac:dyDescent="0.25"/>
  <cols>
    <col min="1" max="1" width="22" style="12" customWidth="1"/>
    <col min="2" max="2" width="11.3984375" style="12" bestFit="1" customWidth="1"/>
    <col min="3" max="5" width="9" style="12"/>
    <col min="6" max="6" width="24.3984375" style="12" bestFit="1" customWidth="1"/>
    <col min="7" max="7" width="9" style="12"/>
    <col min="8" max="8" width="9.59765625" style="12" customWidth="1"/>
    <col min="9" max="9" width="18" style="12" hidden="1" customWidth="1"/>
    <col min="10" max="10" width="15.09765625" style="12" hidden="1" customWidth="1"/>
    <col min="11" max="11" width="9" style="12" customWidth="1"/>
    <col min="12" max="12" width="23.8984375" style="12" customWidth="1"/>
    <col min="13" max="16384" width="9" style="12"/>
  </cols>
  <sheetData>
    <row r="1" spans="1:13" x14ac:dyDescent="0.25">
      <c r="A1" s="49" t="s">
        <v>2</v>
      </c>
      <c r="B1" s="50" t="s">
        <v>12</v>
      </c>
      <c r="C1" s="50" t="s">
        <v>8</v>
      </c>
      <c r="D1" s="50" t="s">
        <v>9</v>
      </c>
      <c r="E1" s="10"/>
      <c r="F1" s="10"/>
      <c r="G1" s="10"/>
      <c r="H1" s="10"/>
      <c r="I1" s="10"/>
      <c r="J1" s="10" t="s">
        <v>39</v>
      </c>
      <c r="K1" s="11"/>
      <c r="L1" s="13"/>
      <c r="M1" s="13"/>
    </row>
    <row r="2" spans="1:13" ht="14.4" thickBot="1" x14ac:dyDescent="0.3">
      <c r="A2" s="51" t="s">
        <v>13</v>
      </c>
      <c r="B2" s="39">
        <f>'נתוני מטוסים'!H36</f>
        <v>2407</v>
      </c>
      <c r="C2" s="40">
        <f>'נתוני מטוסים'!H22</f>
        <v>40.137999999999998</v>
      </c>
      <c r="D2" s="41">
        <f>C2*B2</f>
        <v>96612.165999999997</v>
      </c>
      <c r="E2" s="13"/>
      <c r="F2" s="13"/>
      <c r="G2" s="13"/>
      <c r="H2" s="13"/>
      <c r="I2" s="13"/>
      <c r="J2" s="13">
        <f>B3+B4</f>
        <v>330</v>
      </c>
      <c r="K2" s="14"/>
      <c r="L2" s="13"/>
      <c r="M2" s="13"/>
    </row>
    <row r="3" spans="1:13" ht="15" thickTop="1" thickBot="1" x14ac:dyDescent="0.3">
      <c r="A3" s="77" t="s">
        <v>75</v>
      </c>
      <c r="B3" s="5">
        <v>165</v>
      </c>
      <c r="C3" s="42">
        <f>'נתוני מטוסים'!H24</f>
        <v>37</v>
      </c>
      <c r="D3" s="41">
        <f>C3*B3</f>
        <v>6105</v>
      </c>
      <c r="E3" s="13"/>
      <c r="F3" s="13"/>
      <c r="G3" s="13"/>
      <c r="H3" s="13"/>
      <c r="I3" s="13"/>
      <c r="J3" s="13" t="s">
        <v>301</v>
      </c>
      <c r="K3" s="14"/>
      <c r="L3" s="13"/>
      <c r="M3" s="13"/>
    </row>
    <row r="4" spans="1:13" ht="15" thickTop="1" thickBot="1" x14ac:dyDescent="0.3">
      <c r="A4" s="77" t="s">
        <v>76</v>
      </c>
      <c r="B4" s="5">
        <v>165</v>
      </c>
      <c r="C4" s="42">
        <f>'נתוני מטוסים'!H24</f>
        <v>37</v>
      </c>
      <c r="D4" s="41">
        <f>B4*C4</f>
        <v>6105</v>
      </c>
      <c r="E4" s="13"/>
      <c r="F4" s="13"/>
      <c r="G4" s="13"/>
      <c r="H4" s="13"/>
      <c r="I4" s="13"/>
      <c r="J4" s="13">
        <f>B5+B6</f>
        <v>0</v>
      </c>
      <c r="K4" s="14"/>
      <c r="L4" s="13"/>
      <c r="M4" s="13"/>
    </row>
    <row r="5" spans="1:13" ht="15" thickTop="1" thickBot="1" x14ac:dyDescent="0.3">
      <c r="A5" s="78" t="s">
        <v>295</v>
      </c>
      <c r="B5" s="5"/>
      <c r="C5" s="42">
        <f>'נתוני מטוסים'!H25</f>
        <v>72</v>
      </c>
      <c r="D5" s="41">
        <f>B5*C5</f>
        <v>0</v>
      </c>
      <c r="E5" s="13"/>
      <c r="F5" s="13"/>
      <c r="G5" s="13"/>
      <c r="H5" s="13"/>
      <c r="I5" s="13"/>
      <c r="J5" s="13" t="s">
        <v>37</v>
      </c>
      <c r="K5" s="14"/>
      <c r="L5" s="13"/>
      <c r="M5" s="13"/>
    </row>
    <row r="6" spans="1:13" ht="15" thickTop="1" thickBot="1" x14ac:dyDescent="0.3">
      <c r="A6" s="78" t="s">
        <v>295</v>
      </c>
      <c r="B6" s="5"/>
      <c r="C6" s="42">
        <f>'נתוני מטוסים'!H25</f>
        <v>72</v>
      </c>
      <c r="D6" s="41">
        <f>C6*B6</f>
        <v>0</v>
      </c>
      <c r="E6" s="13"/>
      <c r="F6" s="13"/>
      <c r="G6" s="13"/>
      <c r="H6" s="13"/>
      <c r="I6" s="13"/>
      <c r="J6" s="44">
        <f>B13/2</f>
        <v>36.5</v>
      </c>
      <c r="K6" s="14"/>
      <c r="L6" s="13"/>
      <c r="M6" s="13"/>
    </row>
    <row r="7" spans="1:13" ht="15" thickTop="1" thickBot="1" x14ac:dyDescent="0.3">
      <c r="A7" s="230" t="s">
        <v>296</v>
      </c>
      <c r="B7" s="5"/>
      <c r="C7" s="42">
        <f>'נתוני מטוסים'!H26</f>
        <v>105</v>
      </c>
      <c r="D7" s="41">
        <f>C7*B7</f>
        <v>0</v>
      </c>
      <c r="E7" s="13"/>
      <c r="F7" s="13"/>
      <c r="G7" s="13"/>
      <c r="H7" s="13"/>
      <c r="I7" s="13"/>
      <c r="J7" s="44" t="s">
        <v>302</v>
      </c>
      <c r="K7" s="14"/>
      <c r="L7" s="13"/>
      <c r="M7" s="13"/>
    </row>
    <row r="8" spans="1:13" ht="15" thickTop="1" thickBot="1" x14ac:dyDescent="0.3">
      <c r="A8" s="230" t="s">
        <v>296</v>
      </c>
      <c r="B8" s="5"/>
      <c r="C8" s="42">
        <f>'נתוני מטוסים'!H26</f>
        <v>105</v>
      </c>
      <c r="D8" s="41">
        <f>C8*B8</f>
        <v>0</v>
      </c>
      <c r="E8" s="13"/>
      <c r="F8" s="13"/>
      <c r="G8" s="13"/>
      <c r="H8" s="13"/>
      <c r="I8" s="13"/>
      <c r="J8" s="232">
        <f>B7+B8</f>
        <v>0</v>
      </c>
      <c r="K8" s="14"/>
      <c r="L8" s="13"/>
      <c r="M8" s="13"/>
    </row>
    <row r="9" spans="1:13" ht="15" thickTop="1" thickBot="1" x14ac:dyDescent="0.3">
      <c r="A9" s="231" t="s">
        <v>297</v>
      </c>
      <c r="B9" s="5"/>
      <c r="C9" s="42">
        <f>'נתוני מטוסים'!H27</f>
        <v>130</v>
      </c>
      <c r="D9" s="41">
        <f>C9*B9</f>
        <v>0</v>
      </c>
      <c r="E9" s="13"/>
      <c r="F9" s="13"/>
      <c r="G9" s="13"/>
      <c r="H9" s="13"/>
      <c r="I9" s="13"/>
      <c r="J9" s="44" t="s">
        <v>303</v>
      </c>
      <c r="K9" s="14"/>
      <c r="L9" s="13"/>
      <c r="M9" s="13"/>
    </row>
    <row r="10" spans="1:13" ht="15" thickTop="1" thickBot="1" x14ac:dyDescent="0.3">
      <c r="A10" s="231" t="s">
        <v>297</v>
      </c>
      <c r="B10" s="5"/>
      <c r="C10" s="42">
        <f>'נתוני מטוסים'!H27</f>
        <v>130</v>
      </c>
      <c r="D10" s="41">
        <f>C10*B10</f>
        <v>0</v>
      </c>
      <c r="E10" s="13"/>
      <c r="F10" s="13"/>
      <c r="G10" s="13"/>
      <c r="H10" s="13"/>
      <c r="I10" s="13"/>
      <c r="J10" s="232">
        <f>B9+B10</f>
        <v>0</v>
      </c>
      <c r="K10" s="14"/>
      <c r="L10" s="13"/>
      <c r="M10" s="13"/>
    </row>
    <row r="11" spans="1:13" ht="15" thickTop="1" thickBot="1" x14ac:dyDescent="0.3">
      <c r="A11" s="79" t="s">
        <v>79</v>
      </c>
      <c r="B11" s="5"/>
      <c r="C11" s="42">
        <f>'נתוני מטוסים'!H28</f>
        <v>-10</v>
      </c>
      <c r="D11" s="41">
        <f>B11*C11</f>
        <v>0</v>
      </c>
      <c r="E11" s="13"/>
      <c r="F11" s="13"/>
      <c r="G11" s="13"/>
      <c r="H11" s="13"/>
      <c r="I11" s="13"/>
      <c r="J11" s="13" t="s">
        <v>36</v>
      </c>
      <c r="K11" s="14"/>
      <c r="L11" s="13"/>
      <c r="M11" s="13"/>
    </row>
    <row r="12" spans="1:13" ht="15" thickTop="1" thickBot="1" x14ac:dyDescent="0.3">
      <c r="A12" s="80" t="s">
        <v>80</v>
      </c>
      <c r="B12" s="5">
        <v>0</v>
      </c>
      <c r="C12" s="42">
        <f>'נתוני מטוסים'!H29</f>
        <v>152</v>
      </c>
      <c r="D12" s="41">
        <f>C12*B12</f>
        <v>0</v>
      </c>
      <c r="E12" s="13"/>
      <c r="F12" s="43"/>
      <c r="G12" s="13"/>
      <c r="H12" s="13"/>
      <c r="I12" s="13"/>
      <c r="J12" s="13">
        <f>'נתוני מטוסים'!H40</f>
        <v>73</v>
      </c>
      <c r="K12" s="14"/>
      <c r="L12" s="13"/>
      <c r="M12" s="13"/>
    </row>
    <row r="13" spans="1:13" ht="15" thickTop="1" thickBot="1" x14ac:dyDescent="0.3">
      <c r="A13" s="52" t="s">
        <v>14</v>
      </c>
      <c r="B13" s="5">
        <v>73</v>
      </c>
      <c r="C13" s="42">
        <f>'נתוני מטוסים'!H23</f>
        <v>48</v>
      </c>
      <c r="D13" s="41">
        <f>C13*B13*6</f>
        <v>21024</v>
      </c>
      <c r="E13" s="13"/>
      <c r="F13" s="43"/>
      <c r="G13" s="13"/>
      <c r="H13" s="13"/>
      <c r="I13" s="13"/>
      <c r="J13" s="13" t="s">
        <v>40</v>
      </c>
      <c r="K13" s="14"/>
      <c r="L13" s="13"/>
      <c r="M13" s="13"/>
    </row>
    <row r="14" spans="1:13" ht="15" thickTop="1" x14ac:dyDescent="0.2">
      <c r="A14" s="15"/>
      <c r="B14" s="13"/>
      <c r="C14" s="13"/>
      <c r="D14" s="13"/>
      <c r="E14" s="13"/>
      <c r="F14" s="43"/>
      <c r="G14" s="13"/>
      <c r="H14" s="13"/>
      <c r="I14" s="13"/>
      <c r="J14" s="44">
        <f>'נתוני מטוסים'!H38</f>
        <v>120</v>
      </c>
      <c r="K14" s="14"/>
      <c r="L14" s="13"/>
      <c r="M14" s="13"/>
    </row>
    <row r="15" spans="1:13" x14ac:dyDescent="0.25">
      <c r="A15" s="301" t="s">
        <v>19</v>
      </c>
      <c r="B15" s="302"/>
      <c r="C15" s="13"/>
      <c r="D15" s="13"/>
      <c r="E15" s="13"/>
      <c r="F15" s="13"/>
      <c r="G15" s="13"/>
      <c r="H15" s="13"/>
      <c r="I15" s="13"/>
      <c r="J15" s="13" t="s">
        <v>41</v>
      </c>
      <c r="K15" s="14"/>
      <c r="L15" s="13"/>
      <c r="M15" s="13"/>
    </row>
    <row r="16" spans="1:13" x14ac:dyDescent="0.25">
      <c r="A16" s="53" t="s">
        <v>20</v>
      </c>
      <c r="B16" s="45">
        <f>SUM(D2:D13)/B17</f>
        <v>40.896430236220475</v>
      </c>
      <c r="C16" s="13"/>
      <c r="D16" s="13"/>
      <c r="E16" s="13"/>
      <c r="F16" s="13"/>
      <c r="G16" s="13"/>
      <c r="H16" s="13"/>
      <c r="I16" s="13"/>
      <c r="J16" s="44">
        <f>'נתוני מטוסים'!H39</f>
        <v>180</v>
      </c>
      <c r="K16" s="14"/>
      <c r="L16" s="13"/>
      <c r="M16" s="13"/>
    </row>
    <row r="17" spans="1:13" x14ac:dyDescent="0.25">
      <c r="A17" s="54" t="s">
        <v>15</v>
      </c>
      <c r="B17" s="40">
        <f>B2+(B13*6)+(SUM(B3:B12))</f>
        <v>3175</v>
      </c>
      <c r="C17" s="13"/>
      <c r="D17" s="13"/>
      <c r="E17" s="13"/>
      <c r="F17" s="13"/>
      <c r="G17" s="13"/>
      <c r="H17" s="13"/>
      <c r="I17" s="13"/>
      <c r="J17" s="13" t="s">
        <v>64</v>
      </c>
      <c r="K17" s="14"/>
      <c r="L17" s="13"/>
      <c r="M17" s="13"/>
    </row>
    <row r="18" spans="1:13" ht="14.25" x14ac:dyDescent="0.2">
      <c r="A18" s="15"/>
      <c r="B18" s="13"/>
      <c r="C18" s="13"/>
      <c r="D18" s="13"/>
      <c r="E18" s="13"/>
      <c r="F18" s="13"/>
      <c r="G18" s="13"/>
      <c r="H18" s="13"/>
      <c r="I18" s="13"/>
      <c r="J18" s="13">
        <f>J12/4</f>
        <v>18.25</v>
      </c>
      <c r="K18" s="14"/>
      <c r="L18" s="13"/>
      <c r="M18" s="13"/>
    </row>
    <row r="19" spans="1:13" x14ac:dyDescent="0.25">
      <c r="A19" s="55" t="s">
        <v>18</v>
      </c>
      <c r="B19" s="56"/>
      <c r="C19" s="13"/>
      <c r="D19" s="13"/>
      <c r="E19" s="13"/>
      <c r="F19" s="13"/>
      <c r="G19" s="13"/>
      <c r="H19" s="13"/>
      <c r="I19" s="13"/>
      <c r="J19" s="13"/>
      <c r="K19" s="14"/>
      <c r="L19" s="13"/>
      <c r="M19" s="13"/>
    </row>
    <row r="20" spans="1:13" ht="15" x14ac:dyDescent="0.25">
      <c r="A20" s="57" t="str">
        <f>IF(B16&gt;'נתוני מטוסים'!H30,"חרגת ממגבלת מרכז כובד אחורי",IF(B16&lt;'נתוני מטוסים'!H31,"חרגת ממגבלת מרכז כובד קדמי","מרכז כובד תקין"))</f>
        <v>מרכז כובד תקין</v>
      </c>
      <c r="B20" s="56"/>
      <c r="C20" s="13"/>
      <c r="D20" s="13"/>
      <c r="E20" s="13"/>
      <c r="F20" s="13"/>
      <c r="G20" s="13"/>
      <c r="H20" s="13"/>
      <c r="I20" s="13"/>
      <c r="J20" s="13"/>
      <c r="K20" s="14"/>
      <c r="L20" s="13"/>
      <c r="M20" s="13"/>
    </row>
    <row r="21" spans="1:13" ht="15" x14ac:dyDescent="0.25">
      <c r="A21" s="57" t="str">
        <f>IF(B17&gt;'נתוני מטוסים'!H35,"חרגת מהמשקל המקסימלי","משקל המראה תקין")</f>
        <v>משקל המראה תקין</v>
      </c>
      <c r="B21" s="56"/>
      <c r="C21" s="13"/>
      <c r="D21" s="13"/>
      <c r="E21" s="13"/>
      <c r="F21" s="13"/>
      <c r="G21" s="13"/>
      <c r="H21" s="13"/>
      <c r="I21" s="13"/>
      <c r="J21" s="13"/>
      <c r="K21" s="14"/>
      <c r="L21" s="13"/>
      <c r="M21" s="13"/>
    </row>
    <row r="22" spans="1:13" ht="15" x14ac:dyDescent="0.25">
      <c r="A22" s="57" t="str">
        <f>IF(B13&lt;J18,"יש פחות מרבע טנק דלק","יש מעל רבע טנק דלק")</f>
        <v>יש מעל רבע טנק דלק</v>
      </c>
      <c r="B22" s="13"/>
      <c r="C22" s="13"/>
      <c r="D22" s="13"/>
      <c r="E22" s="13"/>
      <c r="F22" s="13"/>
      <c r="G22" s="13"/>
      <c r="H22" s="13"/>
      <c r="I22" s="13"/>
      <c r="J22" s="13"/>
      <c r="K22" s="14"/>
      <c r="L22" s="13"/>
      <c r="M22" s="13"/>
    </row>
    <row r="23" spans="1:13" ht="15" x14ac:dyDescent="0.25">
      <c r="A23" s="57" t="str">
        <f>IF(SUM('משקל ואיזון CWV'!B11:B12)&gt;'נתוני מטוסים'!H37, "חריגה במשקל תאי המטען","משקל תאי מטען תקין")</f>
        <v>משקל תאי מטען תקין</v>
      </c>
      <c r="B23" s="13"/>
      <c r="C23" s="13"/>
      <c r="D23" s="13"/>
      <c r="E23" s="13"/>
      <c r="F23" s="13"/>
      <c r="G23" s="13"/>
      <c r="H23" s="13"/>
      <c r="I23" s="13"/>
      <c r="J23" s="13"/>
      <c r="K23" s="86"/>
      <c r="L23" s="13"/>
      <c r="M23" s="13"/>
    </row>
    <row r="24" spans="1:13" ht="14.25" x14ac:dyDescent="0.2">
      <c r="A24" s="15"/>
      <c r="B24" s="13"/>
      <c r="C24" s="13"/>
      <c r="D24" s="13"/>
      <c r="E24" s="13"/>
      <c r="F24" s="13"/>
      <c r="G24" s="13"/>
      <c r="H24" s="13"/>
      <c r="I24" s="13"/>
      <c r="J24" s="13"/>
      <c r="K24" s="14"/>
      <c r="L24" s="13"/>
      <c r="M24" s="13"/>
    </row>
    <row r="25" spans="1:13" ht="14.25" x14ac:dyDescent="0.2">
      <c r="A25" s="85" t="s">
        <v>72</v>
      </c>
      <c r="B25" s="13"/>
      <c r="C25" s="13"/>
      <c r="D25" s="13"/>
      <c r="E25" s="13"/>
      <c r="F25" s="13"/>
      <c r="G25" s="13"/>
      <c r="H25" s="13"/>
      <c r="I25" s="13"/>
      <c r="J25" s="13"/>
      <c r="K25" s="14"/>
      <c r="L25" s="13"/>
      <c r="M25" s="13"/>
    </row>
    <row r="26" spans="1:13" ht="15" x14ac:dyDescent="0.25">
      <c r="A26" s="81">
        <f>'נתוני מטוסים'!H35</f>
        <v>3800</v>
      </c>
      <c r="B26" s="13"/>
      <c r="C26" s="13"/>
      <c r="D26" s="13"/>
      <c r="E26" s="13"/>
      <c r="F26" s="13"/>
      <c r="G26" s="13"/>
      <c r="H26" s="13"/>
      <c r="I26" s="13"/>
      <c r="J26" s="13"/>
      <c r="K26" s="14"/>
      <c r="L26" s="13"/>
      <c r="M26" s="13"/>
    </row>
    <row r="27" spans="1:13" ht="14.25" x14ac:dyDescent="0.2">
      <c r="A27" s="15"/>
      <c r="B27" s="13"/>
      <c r="C27" s="13"/>
      <c r="D27" s="13"/>
      <c r="E27" s="13"/>
      <c r="F27" s="13"/>
      <c r="G27" s="13"/>
      <c r="H27" s="13"/>
      <c r="I27" s="13"/>
      <c r="J27" s="13"/>
      <c r="K27" s="14"/>
      <c r="L27" s="13"/>
      <c r="M27" s="13"/>
    </row>
    <row r="28" spans="1:13" ht="14.25" x14ac:dyDescent="0.2">
      <c r="A28" s="15"/>
      <c r="B28" s="13"/>
      <c r="C28" s="13"/>
      <c r="D28" s="13"/>
      <c r="E28" s="13"/>
      <c r="F28" s="13"/>
      <c r="G28" s="13"/>
      <c r="H28" s="13"/>
      <c r="I28" s="13"/>
      <c r="J28" s="13"/>
      <c r="K28" s="14"/>
      <c r="L28" s="13"/>
      <c r="M28" s="13"/>
    </row>
    <row r="29" spans="1:13" ht="14.25" x14ac:dyDescent="0.2">
      <c r="A29" s="15"/>
      <c r="B29" s="13"/>
      <c r="C29" s="13"/>
      <c r="D29" s="13"/>
      <c r="E29" s="13"/>
      <c r="F29" s="13"/>
      <c r="G29" s="13"/>
      <c r="H29" s="13"/>
      <c r="I29" s="13"/>
      <c r="J29" s="13"/>
      <c r="K29" s="14"/>
      <c r="L29" s="13"/>
      <c r="M29" s="13"/>
    </row>
    <row r="30" spans="1:13" ht="14.25" x14ac:dyDescent="0.2">
      <c r="A30" s="15"/>
      <c r="B30" s="13"/>
      <c r="C30" s="13"/>
      <c r="D30" s="13"/>
      <c r="E30" s="13"/>
      <c r="F30" s="13"/>
      <c r="G30" s="13"/>
      <c r="H30" s="13"/>
      <c r="I30" s="13"/>
      <c r="J30" s="13"/>
      <c r="K30" s="14"/>
      <c r="L30" s="13"/>
      <c r="M30" s="13"/>
    </row>
    <row r="31" spans="1:13" ht="14.25" x14ac:dyDescent="0.2">
      <c r="A31" s="15"/>
      <c r="B31" s="13"/>
      <c r="C31" s="13"/>
      <c r="D31" s="13"/>
      <c r="E31" s="13"/>
      <c r="F31" s="13"/>
      <c r="G31" s="13"/>
      <c r="H31" s="13"/>
      <c r="I31" s="13"/>
      <c r="J31" s="13"/>
      <c r="K31" s="14"/>
      <c r="L31" s="13"/>
      <c r="M31" s="13"/>
    </row>
    <row r="32" spans="1:13" ht="14.25" x14ac:dyDescent="0.2">
      <c r="A32" s="15"/>
      <c r="B32" s="13"/>
      <c r="C32" s="13"/>
      <c r="D32" s="13"/>
      <c r="E32" s="13"/>
      <c r="F32" s="13"/>
      <c r="G32" s="13"/>
      <c r="H32" s="13"/>
      <c r="I32" s="13"/>
      <c r="J32" s="13"/>
      <c r="K32" s="14"/>
      <c r="L32" s="13"/>
      <c r="M32" s="13"/>
    </row>
    <row r="33" spans="1:13" ht="15" thickBot="1" x14ac:dyDescent="0.25">
      <c r="A33" s="15"/>
      <c r="B33" s="13"/>
      <c r="C33" s="13"/>
      <c r="D33" s="13"/>
      <c r="E33" s="13"/>
      <c r="F33" s="13"/>
      <c r="G33" s="13"/>
      <c r="H33" s="13"/>
      <c r="I33" s="13"/>
      <c r="J33" s="13"/>
      <c r="K33" s="14"/>
      <c r="L33" s="13"/>
      <c r="M33" s="13"/>
    </row>
    <row r="34" spans="1:13" ht="15.6" x14ac:dyDescent="0.3">
      <c r="A34" s="73" t="s">
        <v>83</v>
      </c>
      <c r="B34" s="10"/>
      <c r="C34" s="10"/>
      <c r="D34" s="10"/>
      <c r="E34" s="10"/>
      <c r="F34" s="10"/>
      <c r="G34" s="11"/>
      <c r="H34" s="13"/>
      <c r="I34" s="13"/>
      <c r="J34" s="13"/>
      <c r="K34" s="14"/>
      <c r="L34" s="13"/>
      <c r="M34" s="13"/>
    </row>
    <row r="35" spans="1:13" ht="15.6" x14ac:dyDescent="0.3">
      <c r="A35" s="72" t="s">
        <v>84</v>
      </c>
      <c r="B35" s="13"/>
      <c r="C35" s="13"/>
      <c r="D35" s="13"/>
      <c r="E35" s="13"/>
      <c r="F35" s="13"/>
      <c r="G35" s="14"/>
      <c r="H35" s="13"/>
      <c r="I35" s="13"/>
      <c r="J35" s="13"/>
      <c r="K35" s="14"/>
      <c r="L35" s="13"/>
      <c r="M35" s="13"/>
    </row>
    <row r="36" spans="1:13" ht="16.2" thickBot="1" x14ac:dyDescent="0.35">
      <c r="A36" s="74" t="s">
        <v>86</v>
      </c>
      <c r="B36" s="16"/>
      <c r="C36" s="16"/>
      <c r="D36" s="16"/>
      <c r="E36" s="16"/>
      <c r="F36" s="16"/>
      <c r="G36" s="17"/>
      <c r="H36" s="16"/>
      <c r="I36" s="16"/>
      <c r="J36" s="16"/>
      <c r="K36" s="17"/>
      <c r="L36" s="13"/>
      <c r="M36" s="13"/>
    </row>
  </sheetData>
  <sheetProtection algorithmName="SHA-512" hashValue="fthkebCuYWZsCnsE6K7adjNANq718BusBES5XN4q9PSdXcAzaaMidv19rYkIJztKJeDpTmQWpctEGLkA/A1oJA==" saltValue="UHeQZxH6l5CrMmv5zQPTQQ==" spinCount="100000" sheet="1" objects="1" scenarios="1" selectLockedCells="1"/>
  <dataConsolidate/>
  <mergeCells count="1">
    <mergeCell ref="A15:B15"/>
  </mergeCells>
  <conditionalFormatting sqref="A21">
    <cfRule type="containsText" dxfId="11" priority="3" operator="containsText" text="חרגת מהמשקל המקסימלי">
      <formula>NOT(ISERROR(SEARCH("חרגת מהמשקל המקסימלי",A21)))</formula>
    </cfRule>
  </conditionalFormatting>
  <conditionalFormatting sqref="A22">
    <cfRule type="containsText" dxfId="10" priority="2" operator="containsText" text="יש פחות מרבע טנק דלק">
      <formula>NOT(ISERROR(SEARCH("יש פחות מרבע טנק דלק",A22)))</formula>
    </cfRule>
  </conditionalFormatting>
  <conditionalFormatting sqref="A23">
    <cfRule type="cellIs" dxfId="9" priority="1" operator="equal">
      <formula>"חריגה במשקל תאי המטען"</formula>
    </cfRule>
  </conditionalFormatting>
  <dataValidations count="4">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13">
      <formula1>1</formula1>
      <formula2>J12</formula2>
    </dataValidation>
    <dataValidation type="whole" allowBlank="1" showErrorMessage="1" errorTitle="הזנה שגויה" error="יש להזין מספרים בלבד בטווח שתואם את מגבלות המטוס. את נתוני המטוס ומגבלותיו ניתן למצוא בלשונית &quot;נתוני מטוסים&quot;" promptTitle="הזן משקל מטען אחרי בק&quot;ג" sqref="B12">
      <formula1>0</formula1>
      <formula2>J16</formula2>
    </dataValidation>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11">
      <formula1>0</formula1>
      <formula2>J14</formula2>
    </dataValidation>
    <dataValidation type="whole" allowBlank="1" showInputMessage="1" showErrorMessage="1" sqref="B2">
      <formula1>1</formula1>
      <formula2>2400</formula2>
    </dataValidation>
  </dataValidations>
  <pageMargins left="0.70866141732283472" right="0.70866141732283472" top="0.74803149606299213" bottom="0.74803149606299213" header="0.31496062992125984" footer="0.31496062992125984"/>
  <pageSetup paperSize="9" orientation="landscape" horizontalDpi="200" verticalDpi="200"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dimension ref="A1:M32"/>
  <sheetViews>
    <sheetView rightToLeft="1" workbookViewId="0">
      <selection activeCell="B9" sqref="B9"/>
    </sheetView>
  </sheetViews>
  <sheetFormatPr defaultColWidth="9" defaultRowHeight="13.8" x14ac:dyDescent="0.25"/>
  <cols>
    <col min="1" max="1" width="22" style="12" customWidth="1"/>
    <col min="2" max="2" width="11.3984375" style="12" bestFit="1" customWidth="1"/>
    <col min="3" max="5" width="9" style="12"/>
    <col min="6" max="6" width="24.3984375" style="12" bestFit="1" customWidth="1"/>
    <col min="7" max="8" width="9" style="12"/>
    <col min="9" max="9" width="0" style="12" hidden="1" customWidth="1"/>
    <col min="10" max="10" width="9" style="12" hidden="1" customWidth="1"/>
    <col min="11" max="11" width="9" style="12"/>
    <col min="12" max="12" width="23.8984375" style="12" customWidth="1"/>
    <col min="13" max="16384" width="9" style="12"/>
  </cols>
  <sheetData>
    <row r="1" spans="1:13" x14ac:dyDescent="0.25">
      <c r="A1" s="49" t="s">
        <v>2</v>
      </c>
      <c r="B1" s="50" t="s">
        <v>12</v>
      </c>
      <c r="C1" s="50" t="s">
        <v>8</v>
      </c>
      <c r="D1" s="50" t="s">
        <v>9</v>
      </c>
      <c r="E1" s="10"/>
      <c r="F1" s="10"/>
      <c r="G1" s="10"/>
      <c r="H1" s="10"/>
      <c r="I1" s="10"/>
      <c r="J1" s="10" t="s">
        <v>39</v>
      </c>
      <c r="K1" s="11"/>
      <c r="L1" s="13"/>
      <c r="M1" s="13"/>
    </row>
    <row r="2" spans="1:13" ht="14.4" thickBot="1" x14ac:dyDescent="0.3">
      <c r="A2" s="51" t="s">
        <v>13</v>
      </c>
      <c r="B2" s="39">
        <v>1497</v>
      </c>
      <c r="C2" s="40">
        <f>'נתוני מטוסים'!H45</f>
        <v>39.6</v>
      </c>
      <c r="D2" s="41">
        <f>C2*B2</f>
        <v>59281.200000000004</v>
      </c>
      <c r="E2" s="13"/>
      <c r="F2" s="13"/>
      <c r="G2" s="13"/>
      <c r="H2" s="13"/>
      <c r="I2" s="13"/>
      <c r="J2" s="13">
        <f>B3+B4</f>
        <v>380</v>
      </c>
      <c r="K2" s="14"/>
      <c r="L2" s="13"/>
      <c r="M2" s="13"/>
    </row>
    <row r="3" spans="1:13" ht="15" thickTop="1" thickBot="1" x14ac:dyDescent="0.3">
      <c r="A3" s="77" t="s">
        <v>75</v>
      </c>
      <c r="B3" s="5">
        <v>180</v>
      </c>
      <c r="C3" s="42">
        <f>'נתוני מטוסים'!H47</f>
        <v>37</v>
      </c>
      <c r="D3" s="41">
        <f>C3*B3</f>
        <v>6660</v>
      </c>
      <c r="E3" s="13"/>
      <c r="F3" s="13"/>
      <c r="G3" s="13"/>
      <c r="H3" s="13"/>
      <c r="I3" s="13"/>
      <c r="J3" s="13" t="s">
        <v>38</v>
      </c>
      <c r="K3" s="14"/>
      <c r="L3" s="13"/>
      <c r="M3" s="13"/>
    </row>
    <row r="4" spans="1:13" ht="15" thickTop="1" thickBot="1" x14ac:dyDescent="0.3">
      <c r="A4" s="77" t="s">
        <v>76</v>
      </c>
      <c r="B4" s="5">
        <v>200</v>
      </c>
      <c r="C4" s="42">
        <f>'נתוני מטוסים'!H47</f>
        <v>37</v>
      </c>
      <c r="D4" s="41">
        <f>B4*C4</f>
        <v>7400</v>
      </c>
      <c r="E4" s="13"/>
      <c r="F4" s="13"/>
      <c r="G4" s="13"/>
      <c r="H4" s="13"/>
      <c r="I4" s="13"/>
      <c r="J4" s="13">
        <f>B5+B6</f>
        <v>0</v>
      </c>
      <c r="K4" s="14"/>
      <c r="L4" s="13"/>
      <c r="M4" s="13"/>
    </row>
    <row r="5" spans="1:13" ht="15" thickTop="1" thickBot="1" x14ac:dyDescent="0.3">
      <c r="A5" s="78" t="s">
        <v>77</v>
      </c>
      <c r="B5" s="5"/>
      <c r="C5" s="42">
        <f>'נתוני מטוסים'!H48</f>
        <v>73</v>
      </c>
      <c r="D5" s="41">
        <f>B5*C5</f>
        <v>0</v>
      </c>
      <c r="E5" s="13"/>
      <c r="F5" s="13"/>
      <c r="G5" s="13"/>
      <c r="H5" s="13"/>
      <c r="I5" s="13"/>
      <c r="J5" s="13" t="s">
        <v>37</v>
      </c>
      <c r="K5" s="14"/>
      <c r="L5" s="13"/>
      <c r="M5" s="13"/>
    </row>
    <row r="6" spans="1:13" ht="15" thickTop="1" thickBot="1" x14ac:dyDescent="0.3">
      <c r="A6" s="78" t="s">
        <v>78</v>
      </c>
      <c r="B6" s="5"/>
      <c r="C6" s="42">
        <f>'נתוני מטוסים'!H48</f>
        <v>73</v>
      </c>
      <c r="D6" s="41">
        <f>C6*B6</f>
        <v>0</v>
      </c>
      <c r="E6" s="13"/>
      <c r="F6" s="13"/>
      <c r="G6" s="13"/>
      <c r="H6" s="13"/>
      <c r="I6" s="13"/>
      <c r="J6" s="44">
        <f>B9/2</f>
        <v>17.5</v>
      </c>
      <c r="K6" s="14"/>
      <c r="L6" s="13"/>
      <c r="M6" s="13"/>
    </row>
    <row r="7" spans="1:13" ht="15" thickTop="1" thickBot="1" x14ac:dyDescent="0.3">
      <c r="A7" s="79" t="s">
        <v>79</v>
      </c>
      <c r="B7" s="5"/>
      <c r="C7" s="42">
        <f>'נתוני מטוסים'!H49</f>
        <v>95</v>
      </c>
      <c r="D7" s="41">
        <f>B7*C7</f>
        <v>0</v>
      </c>
      <c r="E7" s="13"/>
      <c r="F7" s="13"/>
      <c r="G7" s="13"/>
      <c r="H7" s="13"/>
      <c r="I7" s="13"/>
      <c r="J7" s="13" t="s">
        <v>36</v>
      </c>
      <c r="K7" s="14"/>
      <c r="L7" s="13"/>
      <c r="M7" s="13"/>
    </row>
    <row r="8" spans="1:13" ht="15" thickTop="1" thickBot="1" x14ac:dyDescent="0.3">
      <c r="A8" s="80" t="s">
        <v>80</v>
      </c>
      <c r="B8" s="5"/>
      <c r="C8" s="42">
        <f>'נתוני מטוסים'!H50</f>
        <v>123</v>
      </c>
      <c r="D8" s="41">
        <f>C8*B8</f>
        <v>0</v>
      </c>
      <c r="E8" s="13"/>
      <c r="F8" s="43"/>
      <c r="G8" s="13"/>
      <c r="H8" s="13"/>
      <c r="I8" s="13"/>
      <c r="J8" s="13">
        <f>'נתוני מטוסים'!H60</f>
        <v>40</v>
      </c>
      <c r="K8" s="14"/>
      <c r="L8" s="13"/>
      <c r="M8" s="13"/>
    </row>
    <row r="9" spans="1:13" ht="15" thickTop="1" thickBot="1" x14ac:dyDescent="0.3">
      <c r="A9" s="52" t="s">
        <v>14</v>
      </c>
      <c r="B9" s="5">
        <v>35</v>
      </c>
      <c r="C9" s="42">
        <f>'נתוני מטוסים'!H46</f>
        <v>46</v>
      </c>
      <c r="D9" s="41">
        <f>C9*B9*6</f>
        <v>9660</v>
      </c>
      <c r="E9" s="13"/>
      <c r="F9" s="43"/>
      <c r="G9" s="13"/>
      <c r="H9" s="13"/>
      <c r="I9" s="13"/>
      <c r="J9" s="13" t="s">
        <v>40</v>
      </c>
      <c r="K9" s="14"/>
      <c r="L9" s="13"/>
      <c r="M9" s="13"/>
    </row>
    <row r="10" spans="1:13" ht="15" thickTop="1" x14ac:dyDescent="0.2">
      <c r="A10" s="15"/>
      <c r="B10" s="13"/>
      <c r="C10" s="13"/>
      <c r="D10" s="13"/>
      <c r="E10" s="13"/>
      <c r="F10" s="43"/>
      <c r="G10" s="13"/>
      <c r="H10" s="13"/>
      <c r="I10" s="13"/>
      <c r="J10" s="44">
        <f>'נתוני מטוסים'!H58</f>
        <v>120</v>
      </c>
      <c r="K10" s="14"/>
      <c r="L10" s="13"/>
      <c r="M10" s="13"/>
    </row>
    <row r="11" spans="1:13" x14ac:dyDescent="0.25">
      <c r="A11" s="292" t="s">
        <v>19</v>
      </c>
      <c r="B11" s="293"/>
      <c r="C11" s="13"/>
      <c r="D11" s="13"/>
      <c r="E11" s="13"/>
      <c r="F11" s="13"/>
      <c r="G11" s="13"/>
      <c r="H11" s="13"/>
      <c r="I11" s="13"/>
      <c r="J11" s="13" t="s">
        <v>41</v>
      </c>
      <c r="K11" s="14"/>
      <c r="L11" s="13"/>
      <c r="M11" s="13"/>
    </row>
    <row r="12" spans="1:13" x14ac:dyDescent="0.25">
      <c r="A12" s="53" t="s">
        <v>20</v>
      </c>
      <c r="B12" s="45">
        <f>SUM(D2:D9)/B13</f>
        <v>39.770579779587933</v>
      </c>
      <c r="C12" s="13"/>
      <c r="D12" s="13"/>
      <c r="E12" s="13"/>
      <c r="F12" s="13"/>
      <c r="G12" s="13"/>
      <c r="H12" s="13"/>
      <c r="I12" s="13"/>
      <c r="J12" s="44">
        <f>'נתוני מטוסים'!H59</f>
        <v>50</v>
      </c>
      <c r="K12" s="14"/>
      <c r="L12" s="13"/>
      <c r="M12" s="13"/>
    </row>
    <row r="13" spans="1:13" x14ac:dyDescent="0.25">
      <c r="A13" s="54" t="s">
        <v>15</v>
      </c>
      <c r="B13" s="40">
        <f>B2+(B9*6)+(SUM(B3:B8))</f>
        <v>2087</v>
      </c>
      <c r="C13" s="13"/>
      <c r="D13" s="13"/>
      <c r="E13" s="13"/>
      <c r="F13" s="13"/>
      <c r="G13" s="13"/>
      <c r="H13" s="13"/>
      <c r="I13" s="13"/>
      <c r="J13" s="13" t="s">
        <v>64</v>
      </c>
      <c r="K13" s="14"/>
      <c r="L13" s="13"/>
      <c r="M13" s="13"/>
    </row>
    <row r="14" spans="1:13" ht="14.25" x14ac:dyDescent="0.2">
      <c r="A14" s="15"/>
      <c r="B14" s="13"/>
      <c r="C14" s="13"/>
      <c r="D14" s="13"/>
      <c r="E14" s="13"/>
      <c r="F14" s="13"/>
      <c r="G14" s="13"/>
      <c r="H14" s="13"/>
      <c r="I14" s="13"/>
      <c r="J14" s="13">
        <f>J8/4</f>
        <v>10</v>
      </c>
      <c r="K14" s="14"/>
      <c r="L14" s="13"/>
      <c r="M14" s="13"/>
    </row>
    <row r="15" spans="1:13" x14ac:dyDescent="0.25">
      <c r="A15" s="55" t="s">
        <v>18</v>
      </c>
      <c r="B15" s="56"/>
      <c r="C15" s="13"/>
      <c r="D15" s="13"/>
      <c r="E15" s="13"/>
      <c r="F15" s="13"/>
      <c r="G15" s="13"/>
      <c r="H15" s="13"/>
      <c r="I15" s="13"/>
      <c r="J15" s="13"/>
      <c r="K15" s="14"/>
      <c r="L15" s="13"/>
      <c r="M15" s="13"/>
    </row>
    <row r="16" spans="1:13" ht="15" x14ac:dyDescent="0.25">
      <c r="A16" s="57" t="str">
        <f>IF(B12&gt;'נתוני מטוסים'!H51,"חרגת ממגבלת מרכז כובד אחורי",IF(B12&lt;'נתוני מטוסים'!H52,"חרגת ממגבלת מרכז כובד קדמי","מרכז כובד תקין"))</f>
        <v>מרכז כובד תקין</v>
      </c>
      <c r="B16" s="56"/>
      <c r="C16" s="13"/>
      <c r="D16" s="13"/>
      <c r="E16" s="13"/>
      <c r="F16" s="13"/>
      <c r="G16" s="13"/>
      <c r="H16" s="13"/>
      <c r="I16" s="13"/>
      <c r="J16" s="13"/>
      <c r="K16" s="14"/>
      <c r="L16" s="13"/>
      <c r="M16" s="13"/>
    </row>
    <row r="17" spans="1:13" ht="15" x14ac:dyDescent="0.25">
      <c r="A17" s="57" t="str">
        <f>IF(B13&gt;'נתוני מטוסים'!H55,"חרגת מהמשקל המקסימלי","משקל המראה תקין")</f>
        <v>משקל המראה תקין</v>
      </c>
      <c r="B17" s="56"/>
      <c r="C17" s="13"/>
      <c r="D17" s="13"/>
      <c r="E17" s="13"/>
      <c r="F17" s="13"/>
      <c r="G17" s="13"/>
      <c r="H17" s="13"/>
      <c r="I17" s="13"/>
      <c r="J17" s="13"/>
      <c r="K17" s="14"/>
      <c r="L17" s="13"/>
      <c r="M17" s="13"/>
    </row>
    <row r="18" spans="1:13" ht="15" x14ac:dyDescent="0.25">
      <c r="A18" s="57" t="str">
        <f>IF(B9&lt;J14,"יש פחות מרבע טנק דלק","יש מעל רבע טנק דלק")</f>
        <v>יש מעל רבע טנק דלק</v>
      </c>
      <c r="B18" s="13"/>
      <c r="C18" s="13"/>
      <c r="D18" s="13"/>
      <c r="E18" s="13"/>
      <c r="F18" s="13"/>
      <c r="G18" s="13"/>
      <c r="H18" s="13"/>
      <c r="I18" s="13"/>
      <c r="J18" s="13"/>
      <c r="K18" s="14"/>
      <c r="L18" s="13"/>
      <c r="M18" s="13"/>
    </row>
    <row r="19" spans="1:13" ht="15" x14ac:dyDescent="0.25">
      <c r="A19" s="57" t="str">
        <f>IF(SUM('משקל ואיזון CDJ'!B7:B8)&gt;'נתוני מטוסים'!H57, "חריגה במשקל תאי המטען","משקל תאי מטען תקין")</f>
        <v>משקל תאי מטען תקין</v>
      </c>
      <c r="B19" s="13"/>
      <c r="C19" s="13"/>
      <c r="D19" s="13"/>
      <c r="E19" s="13"/>
      <c r="F19" s="13"/>
      <c r="G19" s="13"/>
      <c r="H19" s="13"/>
      <c r="I19" s="13"/>
      <c r="J19" s="46"/>
      <c r="K19" s="14"/>
      <c r="L19" s="13"/>
    </row>
    <row r="20" spans="1:13" ht="14.25" x14ac:dyDescent="0.2">
      <c r="A20" s="15"/>
      <c r="B20" s="13"/>
      <c r="C20" s="13"/>
      <c r="D20" s="13"/>
      <c r="E20" s="13"/>
      <c r="F20" s="13"/>
      <c r="G20" s="13"/>
      <c r="H20" s="13"/>
      <c r="I20" s="13"/>
      <c r="J20" s="13"/>
      <c r="K20" s="14"/>
      <c r="L20" s="13"/>
    </row>
    <row r="21" spans="1:13" ht="14.25" x14ac:dyDescent="0.2">
      <c r="A21" s="85" t="s">
        <v>72</v>
      </c>
      <c r="B21" s="13"/>
      <c r="C21" s="13"/>
      <c r="D21" s="13"/>
      <c r="E21" s="13"/>
      <c r="F21" s="13"/>
      <c r="G21" s="13"/>
      <c r="H21" s="13"/>
      <c r="I21" s="13"/>
      <c r="J21" s="13"/>
      <c r="K21" s="14"/>
      <c r="L21" s="13"/>
      <c r="M21" s="13"/>
    </row>
    <row r="22" spans="1:13" ht="15" x14ac:dyDescent="0.25">
      <c r="A22" s="81">
        <f>'נתוני מטוסים'!H55</f>
        <v>2300</v>
      </c>
      <c r="B22" s="13"/>
      <c r="C22" s="13"/>
      <c r="D22" s="13"/>
      <c r="E22" s="13"/>
      <c r="F22" s="13"/>
      <c r="G22" s="13"/>
      <c r="H22" s="13"/>
      <c r="I22" s="13"/>
      <c r="J22" s="13"/>
      <c r="K22" s="14"/>
      <c r="L22" s="13"/>
      <c r="M22" s="13"/>
    </row>
    <row r="23" spans="1:13" ht="14.25" x14ac:dyDescent="0.2">
      <c r="A23" s="15"/>
      <c r="B23" s="13"/>
      <c r="C23" s="13"/>
      <c r="D23" s="13"/>
      <c r="E23" s="13"/>
      <c r="F23" s="13"/>
      <c r="G23" s="13"/>
      <c r="H23" s="13"/>
      <c r="I23" s="13"/>
      <c r="J23" s="13"/>
      <c r="K23" s="14"/>
      <c r="L23" s="13"/>
      <c r="M23" s="13"/>
    </row>
    <row r="24" spans="1:13" ht="14.25" x14ac:dyDescent="0.2">
      <c r="A24" s="15"/>
      <c r="B24" s="13"/>
      <c r="C24" s="13"/>
      <c r="D24" s="13"/>
      <c r="E24" s="13"/>
      <c r="F24" s="13"/>
      <c r="G24" s="13"/>
      <c r="H24" s="13"/>
      <c r="I24" s="13"/>
      <c r="J24" s="13"/>
      <c r="K24" s="14"/>
      <c r="L24" s="13"/>
      <c r="M24" s="13"/>
    </row>
    <row r="25" spans="1:13" ht="14.25" x14ac:dyDescent="0.2">
      <c r="A25" s="15"/>
      <c r="B25" s="13"/>
      <c r="C25" s="13"/>
      <c r="D25" s="13"/>
      <c r="E25" s="13"/>
      <c r="F25" s="13"/>
      <c r="G25" s="13"/>
      <c r="H25" s="13"/>
      <c r="I25" s="13"/>
      <c r="J25" s="13"/>
      <c r="K25" s="14"/>
      <c r="L25" s="13"/>
      <c r="M25" s="13"/>
    </row>
    <row r="26" spans="1:13" ht="14.25" x14ac:dyDescent="0.2">
      <c r="A26" s="15"/>
      <c r="B26" s="13"/>
      <c r="C26" s="13"/>
      <c r="D26" s="13"/>
      <c r="E26" s="13"/>
      <c r="F26" s="13"/>
      <c r="G26" s="13"/>
      <c r="H26" s="13"/>
      <c r="I26" s="13"/>
      <c r="J26" s="13"/>
      <c r="K26" s="14"/>
      <c r="L26" s="13"/>
      <c r="M26" s="13"/>
    </row>
    <row r="27" spans="1:13" ht="14.25" x14ac:dyDescent="0.2">
      <c r="A27" s="15"/>
      <c r="B27" s="13"/>
      <c r="C27" s="13"/>
      <c r="D27" s="13"/>
      <c r="E27" s="13"/>
      <c r="F27" s="13"/>
      <c r="G27" s="13"/>
      <c r="H27" s="13"/>
      <c r="I27" s="13"/>
      <c r="J27" s="13"/>
      <c r="K27" s="14"/>
      <c r="L27" s="13"/>
      <c r="M27" s="13"/>
    </row>
    <row r="28" spans="1:13" ht="14.25" x14ac:dyDescent="0.2">
      <c r="A28" s="15"/>
      <c r="B28" s="13"/>
      <c r="C28" s="13"/>
      <c r="D28" s="13"/>
      <c r="E28" s="13"/>
      <c r="F28" s="13"/>
      <c r="G28" s="13"/>
      <c r="H28" s="13"/>
      <c r="I28" s="13"/>
      <c r="J28" s="13"/>
      <c r="K28" s="14"/>
      <c r="L28" s="13"/>
      <c r="M28" s="13"/>
    </row>
    <row r="29" spans="1:13" ht="15" thickBot="1" x14ac:dyDescent="0.25">
      <c r="A29" s="15"/>
      <c r="B29" s="13"/>
      <c r="C29" s="13"/>
      <c r="D29" s="13"/>
      <c r="E29" s="13"/>
      <c r="F29" s="13"/>
      <c r="G29" s="13"/>
      <c r="H29" s="13"/>
      <c r="I29" s="13"/>
      <c r="J29" s="13"/>
      <c r="K29" s="14"/>
      <c r="L29" s="13"/>
      <c r="M29" s="13"/>
    </row>
    <row r="30" spans="1:13" ht="15.6" x14ac:dyDescent="0.3">
      <c r="A30" s="73" t="s">
        <v>83</v>
      </c>
      <c r="B30" s="10"/>
      <c r="C30" s="10"/>
      <c r="D30" s="10"/>
      <c r="E30" s="10"/>
      <c r="F30" s="10"/>
      <c r="G30" s="11"/>
      <c r="H30" s="13"/>
      <c r="I30" s="13"/>
      <c r="J30" s="13"/>
      <c r="K30" s="14"/>
      <c r="L30" s="13"/>
      <c r="M30" s="13"/>
    </row>
    <row r="31" spans="1:13" ht="15.6" x14ac:dyDescent="0.3">
      <c r="A31" s="72" t="s">
        <v>84</v>
      </c>
      <c r="B31" s="13"/>
      <c r="C31" s="13"/>
      <c r="D31" s="13"/>
      <c r="E31" s="13"/>
      <c r="F31" s="13"/>
      <c r="G31" s="14"/>
      <c r="H31" s="13"/>
      <c r="I31" s="13"/>
      <c r="J31" s="13"/>
      <c r="K31" s="14"/>
      <c r="L31" s="13"/>
      <c r="M31" s="13"/>
    </row>
    <row r="32" spans="1:13" ht="16.2" thickBot="1" x14ac:dyDescent="0.35">
      <c r="A32" s="74" t="s">
        <v>86</v>
      </c>
      <c r="B32" s="16"/>
      <c r="C32" s="16"/>
      <c r="D32" s="16"/>
      <c r="E32" s="16"/>
      <c r="F32" s="16"/>
      <c r="G32" s="17"/>
      <c r="H32" s="16"/>
      <c r="I32" s="16"/>
      <c r="J32" s="16"/>
      <c r="K32" s="17"/>
      <c r="L32" s="13"/>
      <c r="M32" s="13"/>
    </row>
  </sheetData>
  <sheetProtection selectLockedCells="1"/>
  <dataConsolidate/>
  <mergeCells count="1">
    <mergeCell ref="A11:B11"/>
  </mergeCells>
  <conditionalFormatting sqref="A17">
    <cfRule type="containsText" dxfId="8" priority="3" operator="containsText" text="חרגת מהמשקל המקסימלי">
      <formula>NOT(ISERROR(SEARCH("חרגת מהמשקל המקסימלי",A17)))</formula>
    </cfRule>
  </conditionalFormatting>
  <conditionalFormatting sqref="A18">
    <cfRule type="containsText" dxfId="7" priority="2" operator="containsText" text="יש פחות מרבע טנק דלק">
      <formula>NOT(ISERROR(SEARCH("יש פחות מרבע טנק דלק",A18)))</formula>
    </cfRule>
  </conditionalFormatting>
  <conditionalFormatting sqref="A19">
    <cfRule type="cellIs" dxfId="6" priority="1" operator="equal">
      <formula>"חריגה במשקל תאי המטען"</formula>
    </cfRule>
  </conditionalFormatting>
  <dataValidations count="4">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7">
      <formula1>0</formula1>
      <formula2>J10</formula2>
    </dataValidation>
    <dataValidation type="whole" allowBlank="1" showErrorMessage="1" errorTitle="הזנה שגויה" error="יש להזין מספרים בלבד בטווח שתואם את מגבלות המטוס. את נתוני המטוס ומגבלותיו ניתן למצוא בלשונית &quot;נתוני מטוסים&quot;" promptTitle="הזן משקל מטען אחרי בק&quot;ג" sqref="B8">
      <formula1>0</formula1>
      <formula2>J12</formula2>
    </dataValidation>
    <dataValidation type="whole" allowBlank="1" showInputMessage="1" showErrorMessage="1" errorTitle="הזנה שגויה" error="יש להזין מספרים בלבד בטווח שתואם את מגבלות המטוס. את נתוני המטוס ומגבלותיו ניתן למצוא בלשונית &quot;נתוני מטוסים&quot;" sqref="B9">
      <formula1>1</formula1>
      <formula2>J8</formula2>
    </dataValidation>
    <dataValidation type="whole" allowBlank="1" showInputMessage="1" showErrorMessage="1" sqref="B2">
      <formula1>1</formula1>
      <formula2>2400</formula2>
    </dataValidation>
  </dataValidations>
  <pageMargins left="0.70866141732283472" right="0.70866141732283472" top="0.74803149606299213" bottom="0.74803149606299213" header="0.31496062992125984" footer="0.31496062992125984"/>
  <pageSetup paperSize="9" orientation="landscape" horizontalDpi="200" verticalDpi="200"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11</vt:i4>
      </vt:variant>
      <vt:variant>
        <vt:lpstr>טווחים בעלי שם</vt:lpstr>
      </vt:variant>
      <vt:variant>
        <vt:i4>7</vt:i4>
      </vt:variant>
    </vt:vector>
  </HeadingPairs>
  <TitlesOfParts>
    <vt:vector size="18" baseType="lpstr">
      <vt:lpstr>קרא לפני שימוש</vt:lpstr>
      <vt:lpstr>נתוני מטוסים</vt:lpstr>
      <vt:lpstr>תכנון דלק ודף עזר</vt:lpstr>
      <vt:lpstr>דפי עזר מוכנים</vt:lpstr>
      <vt:lpstr>משקל ואיזון CHV</vt:lpstr>
      <vt:lpstr>משקל ואיזון DAV</vt:lpstr>
      <vt:lpstr>משקל ואיזון CHD</vt:lpstr>
      <vt:lpstr>משקל ואיזון CWV</vt:lpstr>
      <vt:lpstr>משקל ואיזון CDJ</vt:lpstr>
      <vt:lpstr>משקל ואיזון DBV</vt:lpstr>
      <vt:lpstr>משקל ואיזון YYY</vt:lpstr>
      <vt:lpstr>'משקל ואיזון CDJ'!WPrint_Area_W</vt:lpstr>
      <vt:lpstr>'משקל ואיזון CHD'!WPrint_Area_W</vt:lpstr>
      <vt:lpstr>'משקל ואיזון CHV'!WPrint_Area_W</vt:lpstr>
      <vt:lpstr>'משקל ואיזון CWV'!WPrint_Area_W</vt:lpstr>
      <vt:lpstr>'משקל ואיזון DAV'!WPrint_Area_W</vt:lpstr>
      <vt:lpstr>'משקל ואיזון DBV'!WPrint_Area_W</vt:lpstr>
      <vt:lpstr>'תכנון דלק ודף עזר'!WPrint_Area_W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2006-09-13T11:28:12Z</dcterms:created>
  <dcterms:modified xsi:type="dcterms:W3CDTF">2022-06-20T08:07:39Z</dcterms:modified>
</cp:coreProperties>
</file>